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17B63306-100D-46AD-8B6A-541166DF6741}" xr6:coauthVersionLast="31" xr6:coauthVersionMax="31" xr10:uidLastSave="{00000000-0000-0000-0000-000000000000}"/>
  <bookViews>
    <workbookView xWindow="0" yWindow="0" windowWidth="15360" windowHeight="8010" xr2:uid="{00000000-000D-0000-FFFF-FFFF00000000}"/>
  </bookViews>
  <sheets>
    <sheet name="Potential savings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I29" i="1"/>
  <c r="I28" i="1"/>
  <c r="I26" i="1"/>
  <c r="I23" i="1"/>
  <c r="I22" i="1"/>
  <c r="I14" i="1"/>
  <c r="I13" i="1"/>
  <c r="I12" i="1"/>
  <c r="I9" i="1"/>
  <c r="I8" i="1"/>
  <c r="I5" i="1"/>
  <c r="I3" i="1"/>
  <c r="J4" i="1" l="1"/>
  <c r="J5" i="1"/>
  <c r="J6" i="1"/>
  <c r="J7" i="1"/>
  <c r="J9" i="1"/>
  <c r="J12" i="1"/>
  <c r="J13" i="1"/>
  <c r="J14" i="1"/>
  <c r="J15" i="1"/>
  <c r="J17" i="1"/>
  <c r="J18" i="1"/>
  <c r="J19" i="1"/>
  <c r="J20" i="1"/>
  <c r="J21" i="1"/>
  <c r="J22" i="1"/>
  <c r="J23" i="1"/>
  <c r="J24" i="1"/>
  <c r="J25" i="1"/>
  <c r="J26" i="1"/>
  <c r="J27" i="1"/>
  <c r="J28" i="1"/>
  <c r="J3" i="1"/>
  <c r="H30" i="1"/>
  <c r="J30" i="1" s="1"/>
  <c r="H29" i="1"/>
  <c r="J29" i="1" s="1"/>
  <c r="H16" i="1"/>
  <c r="J16" i="1" s="1"/>
  <c r="H11" i="1"/>
  <c r="J11" i="1" s="1"/>
  <c r="H10" i="1"/>
  <c r="J10" i="1" s="1"/>
  <c r="H8" i="1"/>
  <c r="J8" i="1" s="1"/>
  <c r="BH4" i="1" l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" i="1"/>
  <c r="AY4" i="1"/>
  <c r="AZ4" i="1" s="1"/>
  <c r="AY5" i="1"/>
  <c r="AZ5" i="1" s="1"/>
  <c r="AY6" i="1"/>
  <c r="AZ6" i="1" s="1"/>
  <c r="AY7" i="1"/>
  <c r="AZ7" i="1" s="1"/>
  <c r="AY8" i="1"/>
  <c r="AZ8" i="1" s="1"/>
  <c r="AY9" i="1"/>
  <c r="AZ9" i="1" s="1"/>
  <c r="AY10" i="1"/>
  <c r="AZ10" i="1" s="1"/>
  <c r="AY11" i="1"/>
  <c r="AZ11" i="1" s="1"/>
  <c r="AY12" i="1"/>
  <c r="AZ12" i="1" s="1"/>
  <c r="AY13" i="1"/>
  <c r="AZ13" i="1" s="1"/>
  <c r="AY14" i="1"/>
  <c r="AZ14" i="1" s="1"/>
  <c r="AY15" i="1"/>
  <c r="AZ15" i="1" s="1"/>
  <c r="AY16" i="1"/>
  <c r="AZ16" i="1" s="1"/>
  <c r="AY17" i="1"/>
  <c r="AZ17" i="1" s="1"/>
  <c r="AY18" i="1"/>
  <c r="AZ18" i="1" s="1"/>
  <c r="AY19" i="1"/>
  <c r="AZ19" i="1" s="1"/>
  <c r="AY20" i="1"/>
  <c r="AZ20" i="1" s="1"/>
  <c r="AY21" i="1"/>
  <c r="AZ21" i="1" s="1"/>
  <c r="AY22" i="1"/>
  <c r="AZ22" i="1" s="1"/>
  <c r="AY23" i="1"/>
  <c r="AZ23" i="1" s="1"/>
  <c r="AY24" i="1"/>
  <c r="AZ24" i="1" s="1"/>
  <c r="AY25" i="1"/>
  <c r="AZ25" i="1" s="1"/>
  <c r="AY26" i="1"/>
  <c r="AZ26" i="1" s="1"/>
  <c r="AY27" i="1"/>
  <c r="AZ27" i="1" s="1"/>
  <c r="AY28" i="1"/>
  <c r="AZ28" i="1" s="1"/>
  <c r="AY29" i="1"/>
  <c r="AZ29" i="1" s="1"/>
  <c r="AY30" i="1"/>
  <c r="AZ30" i="1" s="1"/>
  <c r="AY3" i="1"/>
  <c r="AZ3" i="1" s="1"/>
  <c r="W5" i="1" l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4" i="1"/>
  <c r="W3" i="1"/>
  <c r="W31" i="1" l="1"/>
  <c r="N21" i="1"/>
  <c r="N10" i="1"/>
  <c r="N6" i="1"/>
  <c r="N7" i="1"/>
  <c r="M20" i="1"/>
  <c r="N20" i="1"/>
  <c r="K6" i="1"/>
  <c r="P6" i="1" s="1"/>
  <c r="BI6" i="1" s="1"/>
  <c r="O6" i="1" l="1"/>
  <c r="Y6" i="1"/>
  <c r="S6" i="1"/>
  <c r="B31" i="1"/>
  <c r="BL6" i="1" l="1"/>
  <c r="AC6" i="1"/>
  <c r="AH6" i="1"/>
  <c r="AM6" i="1"/>
  <c r="BP6" i="1"/>
  <c r="X6" i="1"/>
  <c r="BA6" i="1"/>
  <c r="R6" i="1"/>
  <c r="K4" i="1"/>
  <c r="K9" i="1"/>
  <c r="K17" i="1"/>
  <c r="K25" i="1"/>
  <c r="K3" i="1"/>
  <c r="K5" i="1"/>
  <c r="K7" i="1"/>
  <c r="K8" i="1"/>
  <c r="K10" i="1"/>
  <c r="K11" i="1"/>
  <c r="K12" i="1"/>
  <c r="K13" i="1"/>
  <c r="K14" i="1"/>
  <c r="K15" i="1"/>
  <c r="K16" i="1"/>
  <c r="K18" i="1"/>
  <c r="K19" i="1"/>
  <c r="K20" i="1"/>
  <c r="K21" i="1"/>
  <c r="K22" i="1"/>
  <c r="K23" i="1"/>
  <c r="K24" i="1"/>
  <c r="K26" i="1"/>
  <c r="K27" i="1"/>
  <c r="K28" i="1"/>
  <c r="K29" i="1"/>
  <c r="K30" i="1"/>
  <c r="AB6" i="1" l="1"/>
  <c r="AG6" i="1"/>
  <c r="BO6" i="1"/>
  <c r="AL6" i="1"/>
  <c r="BK6" i="1"/>
  <c r="Z6" i="1"/>
  <c r="P7" i="1"/>
  <c r="O7" i="1"/>
  <c r="O20" i="1"/>
  <c r="P20" i="1"/>
  <c r="P10" i="1"/>
  <c r="O10" i="1"/>
  <c r="P21" i="1"/>
  <c r="O21" i="1"/>
  <c r="BM6" i="1" l="1"/>
  <c r="AD6" i="1"/>
  <c r="AN6" i="1"/>
  <c r="BQ6" i="1" s="1"/>
  <c r="AI6" i="1"/>
  <c r="S10" i="1"/>
  <c r="BI10" i="1"/>
  <c r="S20" i="1"/>
  <c r="BI20" i="1"/>
  <c r="S7" i="1"/>
  <c r="BI7" i="1"/>
  <c r="S21" i="1"/>
  <c r="BI21" i="1"/>
  <c r="R20" i="1"/>
  <c r="BA20" i="1"/>
  <c r="R7" i="1"/>
  <c r="BA7" i="1"/>
  <c r="R10" i="1"/>
  <c r="BA10" i="1"/>
  <c r="R21" i="1"/>
  <c r="BA21" i="1"/>
  <c r="X10" i="1"/>
  <c r="V31" i="1"/>
  <c r="X7" i="1"/>
  <c r="X20" i="1"/>
  <c r="X21" i="1"/>
  <c r="AB21" i="1" l="1"/>
  <c r="AG21" i="1"/>
  <c r="AB10" i="1"/>
  <c r="AG10" i="1"/>
  <c r="AB20" i="1"/>
  <c r="AG20" i="1"/>
  <c r="AB7" i="1"/>
  <c r="AG7" i="1"/>
  <c r="BK7" i="1"/>
  <c r="BO21" i="1"/>
  <c r="AL21" i="1"/>
  <c r="BO7" i="1"/>
  <c r="AL7" i="1"/>
  <c r="BO20" i="1"/>
  <c r="AL20" i="1"/>
  <c r="BO10" i="1"/>
  <c r="AL10" i="1"/>
  <c r="BK21" i="1"/>
  <c r="BK10" i="1"/>
  <c r="BK20" i="1"/>
  <c r="N4" i="1"/>
  <c r="N5" i="1"/>
  <c r="N8" i="1"/>
  <c r="N9" i="1"/>
  <c r="N11" i="1"/>
  <c r="N12" i="1"/>
  <c r="N13" i="1"/>
  <c r="N14" i="1"/>
  <c r="N15" i="1"/>
  <c r="N16" i="1"/>
  <c r="N17" i="1"/>
  <c r="N18" i="1"/>
  <c r="N19" i="1"/>
  <c r="N22" i="1"/>
  <c r="N23" i="1"/>
  <c r="N24" i="1"/>
  <c r="N25" i="1"/>
  <c r="N26" i="1"/>
  <c r="N27" i="1"/>
  <c r="N28" i="1"/>
  <c r="N29" i="1"/>
  <c r="N30" i="1"/>
  <c r="N3" i="1"/>
  <c r="M5" i="1"/>
  <c r="M8" i="1"/>
  <c r="P8" i="1" s="1"/>
  <c r="M9" i="1"/>
  <c r="P9" i="1" s="1"/>
  <c r="M11" i="1"/>
  <c r="P11" i="1" s="1"/>
  <c r="M12" i="1"/>
  <c r="P12" i="1" s="1"/>
  <c r="M13" i="1"/>
  <c r="P13" i="1" s="1"/>
  <c r="M14" i="1"/>
  <c r="P14" i="1" s="1"/>
  <c r="M15" i="1"/>
  <c r="P15" i="1" s="1"/>
  <c r="M16" i="1"/>
  <c r="P16" i="1" s="1"/>
  <c r="M17" i="1"/>
  <c r="P17" i="1" s="1"/>
  <c r="M18" i="1"/>
  <c r="P18" i="1" s="1"/>
  <c r="M19" i="1"/>
  <c r="P19" i="1" s="1"/>
  <c r="M22" i="1"/>
  <c r="P22" i="1" s="1"/>
  <c r="M23" i="1"/>
  <c r="P23" i="1" s="1"/>
  <c r="M24" i="1"/>
  <c r="P24" i="1" s="1"/>
  <c r="M25" i="1"/>
  <c r="P25" i="1" s="1"/>
  <c r="M26" i="1"/>
  <c r="P26" i="1" s="1"/>
  <c r="M27" i="1"/>
  <c r="P27" i="1" s="1"/>
  <c r="M28" i="1"/>
  <c r="P28" i="1" s="1"/>
  <c r="M29" i="1"/>
  <c r="P29" i="1" s="1"/>
  <c r="M30" i="1"/>
  <c r="P30" i="1" s="1"/>
  <c r="M3" i="1"/>
  <c r="M4" i="1"/>
  <c r="S30" i="1" l="1"/>
  <c r="BI30" i="1"/>
  <c r="S29" i="1"/>
  <c r="BI29" i="1"/>
  <c r="S9" i="1"/>
  <c r="BI9" i="1"/>
  <c r="S17" i="1"/>
  <c r="BI17" i="1"/>
  <c r="S8" i="1"/>
  <c r="BI8" i="1"/>
  <c r="S26" i="1"/>
  <c r="BI26" i="1"/>
  <c r="S16" i="1"/>
  <c r="BI16" i="1"/>
  <c r="S22" i="1"/>
  <c r="BI22" i="1"/>
  <c r="S11" i="1"/>
  <c r="BI11" i="1"/>
  <c r="S18" i="1"/>
  <c r="BI18" i="1"/>
  <c r="S25" i="1"/>
  <c r="BI25" i="1"/>
  <c r="S12" i="1"/>
  <c r="BI12" i="1"/>
  <c r="S19" i="1"/>
  <c r="BI19" i="1"/>
  <c r="S28" i="1"/>
  <c r="BI28" i="1"/>
  <c r="S27" i="1"/>
  <c r="BI27" i="1"/>
  <c r="S15" i="1"/>
  <c r="BI15" i="1"/>
  <c r="S24" i="1"/>
  <c r="BI24" i="1"/>
  <c r="S14" i="1"/>
  <c r="BI14" i="1"/>
  <c r="S23" i="1"/>
  <c r="BI23" i="1"/>
  <c r="S13" i="1"/>
  <c r="BI13" i="1"/>
  <c r="BL13" i="1" s="1"/>
  <c r="P4" i="1"/>
  <c r="O5" i="1"/>
  <c r="Y8" i="1"/>
  <c r="Y9" i="1"/>
  <c r="Y11" i="1"/>
  <c r="Y12" i="1"/>
  <c r="Y13" i="1"/>
  <c r="O14" i="1"/>
  <c r="Y15" i="1"/>
  <c r="O16" i="1"/>
  <c r="Y17" i="1"/>
  <c r="Y18" i="1"/>
  <c r="Y19" i="1"/>
  <c r="Y22" i="1"/>
  <c r="Y23" i="1"/>
  <c r="O24" i="1"/>
  <c r="Y25" i="1"/>
  <c r="Y26" i="1"/>
  <c r="Y27" i="1"/>
  <c r="O28" i="1"/>
  <c r="O29" i="1"/>
  <c r="Y30" i="1"/>
  <c r="P3" i="1"/>
  <c r="AC30" i="1" l="1"/>
  <c r="AH30" i="1"/>
  <c r="AC22" i="1"/>
  <c r="AH22" i="1"/>
  <c r="AC25" i="1"/>
  <c r="AH25" i="1"/>
  <c r="AC19" i="1"/>
  <c r="AH19" i="1"/>
  <c r="AC15" i="1"/>
  <c r="AH15" i="1"/>
  <c r="AC11" i="1"/>
  <c r="AH11" i="1"/>
  <c r="AC18" i="1"/>
  <c r="AH18" i="1"/>
  <c r="AC9" i="1"/>
  <c r="AH9" i="1"/>
  <c r="BL22" i="1"/>
  <c r="AC27" i="1"/>
  <c r="AH27" i="1"/>
  <c r="AC23" i="1"/>
  <c r="AH23" i="1"/>
  <c r="AC17" i="1"/>
  <c r="AH17" i="1"/>
  <c r="AC13" i="1"/>
  <c r="AH13" i="1"/>
  <c r="AC8" i="1"/>
  <c r="AH8" i="1"/>
  <c r="AC26" i="1"/>
  <c r="AH26" i="1"/>
  <c r="AC12" i="1"/>
  <c r="AH12" i="1"/>
  <c r="BL12" i="1"/>
  <c r="BL15" i="1"/>
  <c r="BL9" i="1"/>
  <c r="BL17" i="1"/>
  <c r="BL27" i="1"/>
  <c r="BL25" i="1"/>
  <c r="BL8" i="1"/>
  <c r="AM23" i="1"/>
  <c r="BP23" i="1"/>
  <c r="AM30" i="1"/>
  <c r="BP30" i="1"/>
  <c r="AM22" i="1"/>
  <c r="BP22" i="1"/>
  <c r="BL23" i="1"/>
  <c r="AM11" i="1"/>
  <c r="BP11" i="1"/>
  <c r="AM18" i="1"/>
  <c r="BP18" i="1"/>
  <c r="AM9" i="1"/>
  <c r="BP9" i="1"/>
  <c r="BL18" i="1"/>
  <c r="BL26" i="1"/>
  <c r="AM27" i="1"/>
  <c r="BP27" i="1"/>
  <c r="AM17" i="1"/>
  <c r="BP17" i="1"/>
  <c r="AM8" i="1"/>
  <c r="BP8" i="1"/>
  <c r="AM13" i="1"/>
  <c r="BP13" i="1"/>
  <c r="AM12" i="1"/>
  <c r="BP12" i="1"/>
  <c r="AM19" i="1"/>
  <c r="BP19" i="1"/>
  <c r="AM26" i="1"/>
  <c r="BP26" i="1"/>
  <c r="BL19" i="1"/>
  <c r="BL11" i="1"/>
  <c r="BL30" i="1"/>
  <c r="AM25" i="1"/>
  <c r="BP25" i="1"/>
  <c r="AM15" i="1"/>
  <c r="BP15" i="1"/>
  <c r="S3" i="1"/>
  <c r="BI3" i="1"/>
  <c r="S4" i="1"/>
  <c r="BI4" i="1"/>
  <c r="R29" i="1"/>
  <c r="BA29" i="1"/>
  <c r="R28" i="1"/>
  <c r="BA28" i="1"/>
  <c r="R24" i="1"/>
  <c r="BA24" i="1"/>
  <c r="R14" i="1"/>
  <c r="BA14" i="1"/>
  <c r="R16" i="1"/>
  <c r="BA16" i="1"/>
  <c r="R5" i="1"/>
  <c r="BA5" i="1"/>
  <c r="Y4" i="1"/>
  <c r="Y10" i="1"/>
  <c r="X28" i="1"/>
  <c r="Y20" i="1"/>
  <c r="X16" i="1"/>
  <c r="X24" i="1"/>
  <c r="Y7" i="1"/>
  <c r="X14" i="1"/>
  <c r="X5" i="1"/>
  <c r="X29" i="1"/>
  <c r="Y21" i="1"/>
  <c r="Y3" i="1"/>
  <c r="O15" i="1"/>
  <c r="P5" i="1"/>
  <c r="O23" i="1"/>
  <c r="O30" i="1"/>
  <c r="Y29" i="1"/>
  <c r="Y16" i="1"/>
  <c r="Y14" i="1"/>
  <c r="Y28" i="1"/>
  <c r="Y24" i="1"/>
  <c r="K31" i="1"/>
  <c r="O3" i="1"/>
  <c r="BA3" i="1" s="1"/>
  <c r="O8" i="1"/>
  <c r="O27" i="1"/>
  <c r="O19" i="1"/>
  <c r="O18" i="1"/>
  <c r="O13" i="1"/>
  <c r="O12" i="1"/>
  <c r="O4" i="1"/>
  <c r="O25" i="1"/>
  <c r="O9" i="1"/>
  <c r="O17" i="1"/>
  <c r="O22" i="1"/>
  <c r="O26" i="1"/>
  <c r="O11" i="1"/>
  <c r="BL14" i="1" l="1"/>
  <c r="AC14" i="1"/>
  <c r="AH14" i="1"/>
  <c r="AC7" i="1"/>
  <c r="AH7" i="1"/>
  <c r="AB24" i="1"/>
  <c r="AG24" i="1"/>
  <c r="AC24" i="1"/>
  <c r="AH24" i="1"/>
  <c r="AB5" i="1"/>
  <c r="AG5" i="1"/>
  <c r="AB16" i="1"/>
  <c r="AG16" i="1"/>
  <c r="AC4" i="1"/>
  <c r="AH4" i="1"/>
  <c r="AC21" i="1"/>
  <c r="AH21" i="1"/>
  <c r="AB28" i="1"/>
  <c r="AG28" i="1"/>
  <c r="BL16" i="1"/>
  <c r="AC16" i="1"/>
  <c r="AH16" i="1"/>
  <c r="AB29" i="1"/>
  <c r="AG29" i="1"/>
  <c r="AC10" i="1"/>
  <c r="AH10" i="1"/>
  <c r="BL29" i="1"/>
  <c r="AC29" i="1"/>
  <c r="AH29" i="1"/>
  <c r="BL28" i="1"/>
  <c r="AC28" i="1"/>
  <c r="AH28" i="1"/>
  <c r="AC3" i="1"/>
  <c r="AH3" i="1"/>
  <c r="AB14" i="1"/>
  <c r="AG14" i="1"/>
  <c r="AC20" i="1"/>
  <c r="AH20" i="1"/>
  <c r="BL4" i="1"/>
  <c r="AM24" i="1"/>
  <c r="BP24" i="1"/>
  <c r="AM3" i="1"/>
  <c r="BP3" i="1"/>
  <c r="AM21" i="1"/>
  <c r="BP21" i="1"/>
  <c r="BL21" i="1"/>
  <c r="AM16" i="1"/>
  <c r="BP16" i="1"/>
  <c r="BO29" i="1"/>
  <c r="AL29" i="1"/>
  <c r="AM10" i="1"/>
  <c r="BP10" i="1"/>
  <c r="BL10" i="1"/>
  <c r="BL3" i="1"/>
  <c r="AM29" i="1"/>
  <c r="BP29" i="1"/>
  <c r="BO5" i="1"/>
  <c r="AL5" i="1"/>
  <c r="AM4" i="1"/>
  <c r="BP4" i="1"/>
  <c r="BL24" i="1"/>
  <c r="AM7" i="1"/>
  <c r="BP7" i="1"/>
  <c r="BL7" i="1"/>
  <c r="BO24" i="1"/>
  <c r="AL24" i="1"/>
  <c r="BO16" i="1"/>
  <c r="AL16" i="1"/>
  <c r="AM28" i="1"/>
  <c r="BP28" i="1"/>
  <c r="AM20" i="1"/>
  <c r="BP20" i="1"/>
  <c r="BL20" i="1"/>
  <c r="AM14" i="1"/>
  <c r="BP14" i="1"/>
  <c r="BO28" i="1"/>
  <c r="AL28" i="1"/>
  <c r="BO14" i="1"/>
  <c r="AL14" i="1"/>
  <c r="BK28" i="1"/>
  <c r="BK5" i="1"/>
  <c r="BK16" i="1"/>
  <c r="BK14" i="1"/>
  <c r="BK24" i="1"/>
  <c r="BK29" i="1"/>
  <c r="S5" i="1"/>
  <c r="BI5" i="1"/>
  <c r="BI31" i="1" s="1"/>
  <c r="R9" i="1"/>
  <c r="BA9" i="1"/>
  <c r="R30" i="1"/>
  <c r="BA30" i="1"/>
  <c r="R4" i="1"/>
  <c r="BA4" i="1"/>
  <c r="R12" i="1"/>
  <c r="BA12" i="1"/>
  <c r="R15" i="1"/>
  <c r="BA15" i="1"/>
  <c r="R11" i="1"/>
  <c r="BA11" i="1"/>
  <c r="R13" i="1"/>
  <c r="BA13" i="1"/>
  <c r="R17" i="1"/>
  <c r="BA17" i="1"/>
  <c r="R27" i="1"/>
  <c r="BA27" i="1"/>
  <c r="R8" i="1"/>
  <c r="BA8" i="1"/>
  <c r="R25" i="1"/>
  <c r="BA25" i="1"/>
  <c r="R23" i="1"/>
  <c r="BA23" i="1"/>
  <c r="R26" i="1"/>
  <c r="BA26" i="1"/>
  <c r="R18" i="1"/>
  <c r="BA18" i="1"/>
  <c r="R22" i="1"/>
  <c r="BA22" i="1"/>
  <c r="R19" i="1"/>
  <c r="BA19" i="1"/>
  <c r="R3" i="1"/>
  <c r="X3" i="1"/>
  <c r="X25" i="1"/>
  <c r="X12" i="1"/>
  <c r="Z28" i="1"/>
  <c r="Z20" i="1"/>
  <c r="X26" i="1"/>
  <c r="X18" i="1"/>
  <c r="Z14" i="1"/>
  <c r="X22" i="1"/>
  <c r="Z16" i="1"/>
  <c r="X15" i="1"/>
  <c r="Z21" i="1"/>
  <c r="Z7" i="1"/>
  <c r="X17" i="1"/>
  <c r="X27" i="1"/>
  <c r="Z29" i="1"/>
  <c r="X4" i="1"/>
  <c r="Z24" i="1"/>
  <c r="X11" i="1"/>
  <c r="X13" i="1"/>
  <c r="X9" i="1"/>
  <c r="X8" i="1"/>
  <c r="X30" i="1"/>
  <c r="X23" i="1"/>
  <c r="Z10" i="1"/>
  <c r="X19" i="1"/>
  <c r="Y5" i="1"/>
  <c r="P31" i="1"/>
  <c r="O31" i="1"/>
  <c r="O33" i="1" s="1"/>
  <c r="BK13" i="1" l="1"/>
  <c r="BM10" i="1"/>
  <c r="AD10" i="1"/>
  <c r="BM7" i="1"/>
  <c r="AD7" i="1"/>
  <c r="BM20" i="1"/>
  <c r="AD20" i="1"/>
  <c r="AB13" i="1"/>
  <c r="AG13" i="1"/>
  <c r="BM14" i="1"/>
  <c r="AD14" i="1"/>
  <c r="AB30" i="1"/>
  <c r="AG30" i="1"/>
  <c r="AB18" i="1"/>
  <c r="AG18" i="1"/>
  <c r="AB9" i="1"/>
  <c r="AG9" i="1"/>
  <c r="AB4" i="1"/>
  <c r="AG4" i="1"/>
  <c r="AB22" i="1"/>
  <c r="AG22" i="1"/>
  <c r="AB3" i="1"/>
  <c r="AG3" i="1"/>
  <c r="AB23" i="1"/>
  <c r="AG23" i="1"/>
  <c r="BM29" i="1"/>
  <c r="AD29" i="1"/>
  <c r="BM21" i="1"/>
  <c r="AD21" i="1"/>
  <c r="BM28" i="1"/>
  <c r="AD28" i="1"/>
  <c r="AC5" i="1"/>
  <c r="AC31" i="1" s="1"/>
  <c r="AH5" i="1"/>
  <c r="AH31" i="1" s="1"/>
  <c r="AB11" i="1"/>
  <c r="AG11" i="1"/>
  <c r="AB27" i="1"/>
  <c r="AG27" i="1"/>
  <c r="AB15" i="1"/>
  <c r="AG15" i="1"/>
  <c r="AB12" i="1"/>
  <c r="AG12" i="1"/>
  <c r="AB19" i="1"/>
  <c r="AG19" i="1"/>
  <c r="AB8" i="1"/>
  <c r="AG8" i="1"/>
  <c r="BM24" i="1"/>
  <c r="AD24" i="1"/>
  <c r="AB17" i="1"/>
  <c r="AG17" i="1"/>
  <c r="BM16" i="1"/>
  <c r="AD16" i="1"/>
  <c r="AB26" i="1"/>
  <c r="AG26" i="1"/>
  <c r="AB25" i="1"/>
  <c r="AG25" i="1"/>
  <c r="BK27" i="1"/>
  <c r="BA31" i="1"/>
  <c r="BO9" i="1"/>
  <c r="AL9" i="1"/>
  <c r="BO13" i="1"/>
  <c r="AL13" i="1"/>
  <c r="BO11" i="1"/>
  <c r="AL11" i="1"/>
  <c r="BO15" i="1"/>
  <c r="AL15" i="1"/>
  <c r="AM5" i="1"/>
  <c r="AM31" i="1" s="1"/>
  <c r="BP31" i="1" s="1"/>
  <c r="BP5" i="1"/>
  <c r="BO12" i="1"/>
  <c r="AL12" i="1"/>
  <c r="BO19" i="1"/>
  <c r="AL19" i="1"/>
  <c r="BO25" i="1"/>
  <c r="AL25" i="1"/>
  <c r="BO4" i="1"/>
  <c r="AL4" i="1"/>
  <c r="BO22" i="1"/>
  <c r="AL22" i="1"/>
  <c r="BO3" i="1"/>
  <c r="AL3" i="1"/>
  <c r="BK15" i="1"/>
  <c r="BO23" i="1"/>
  <c r="AL23" i="1"/>
  <c r="BO30" i="1"/>
  <c r="AL30" i="1"/>
  <c r="BO27" i="1"/>
  <c r="AL27" i="1"/>
  <c r="BO18" i="1"/>
  <c r="AL18" i="1"/>
  <c r="BL5" i="1"/>
  <c r="BO8" i="1"/>
  <c r="AL8" i="1"/>
  <c r="BO17" i="1"/>
  <c r="AL17" i="1"/>
  <c r="BO26" i="1"/>
  <c r="AL26" i="1"/>
  <c r="BK22" i="1"/>
  <c r="BK26" i="1"/>
  <c r="BK25" i="1"/>
  <c r="BK4" i="1"/>
  <c r="BK9" i="1"/>
  <c r="BK19" i="1"/>
  <c r="BK18" i="1"/>
  <c r="BK23" i="1"/>
  <c r="BK8" i="1"/>
  <c r="BK17" i="1"/>
  <c r="BK11" i="1"/>
  <c r="BK12" i="1"/>
  <c r="BK30" i="1"/>
  <c r="BK3" i="1"/>
  <c r="Z18" i="1"/>
  <c r="AN20" i="1"/>
  <c r="BQ20" i="1" s="1"/>
  <c r="AI20" i="1"/>
  <c r="Z12" i="1"/>
  <c r="AN10" i="1"/>
  <c r="BQ10" i="1" s="1"/>
  <c r="AI10" i="1"/>
  <c r="Z30" i="1"/>
  <c r="Z9" i="1"/>
  <c r="Z4" i="1"/>
  <c r="AI29" i="1"/>
  <c r="AN29" i="1"/>
  <c r="BQ29" i="1" s="1"/>
  <c r="Z17" i="1"/>
  <c r="AI21" i="1"/>
  <c r="AN21" i="1"/>
  <c r="BQ21" i="1" s="1"/>
  <c r="AN16" i="1"/>
  <c r="BQ16" i="1" s="1"/>
  <c r="AI16" i="1"/>
  <c r="AN14" i="1"/>
  <c r="BQ14" i="1" s="1"/>
  <c r="AI14" i="1"/>
  <c r="Z26" i="1"/>
  <c r="AN28" i="1"/>
  <c r="BQ28" i="1" s="1"/>
  <c r="AI28" i="1"/>
  <c r="Z25" i="1"/>
  <c r="Z23" i="1"/>
  <c r="Z13" i="1"/>
  <c r="AN24" i="1"/>
  <c r="BQ24" i="1" s="1"/>
  <c r="AI24" i="1"/>
  <c r="Z27" i="1"/>
  <c r="AN7" i="1"/>
  <c r="BQ7" i="1" s="1"/>
  <c r="AI7" i="1"/>
  <c r="Z15" i="1"/>
  <c r="AD15" i="1" s="1"/>
  <c r="Z22" i="1"/>
  <c r="Z11" i="1"/>
  <c r="Z8" i="1"/>
  <c r="Z5" i="1"/>
  <c r="X31" i="1"/>
  <c r="Z3" i="1"/>
  <c r="Z19" i="1"/>
  <c r="Y31" i="1"/>
  <c r="R31" i="1"/>
  <c r="S31" i="1"/>
  <c r="AB31" i="1" l="1"/>
  <c r="BM30" i="1"/>
  <c r="AD30" i="1"/>
  <c r="BM5" i="1"/>
  <c r="AD5" i="1"/>
  <c r="BM8" i="1"/>
  <c r="AD8" i="1"/>
  <c r="BM4" i="1"/>
  <c r="AD4" i="1"/>
  <c r="BM18" i="1"/>
  <c r="AD18" i="1"/>
  <c r="BM22" i="1"/>
  <c r="AD22" i="1"/>
  <c r="BM27" i="1"/>
  <c r="AD27" i="1"/>
  <c r="BM23" i="1"/>
  <c r="AD23" i="1"/>
  <c r="BM26" i="1"/>
  <c r="AD26" i="1"/>
  <c r="BM25" i="1"/>
  <c r="AD25" i="1"/>
  <c r="BM19" i="1"/>
  <c r="AD19" i="1"/>
  <c r="BM3" i="1"/>
  <c r="AD3" i="1"/>
  <c r="BM11" i="1"/>
  <c r="AD11" i="1"/>
  <c r="BM13" i="1"/>
  <c r="AD13" i="1"/>
  <c r="BM17" i="1"/>
  <c r="AD17" i="1"/>
  <c r="BM9" i="1"/>
  <c r="AD9" i="1"/>
  <c r="BM12" i="1"/>
  <c r="AD12" i="1"/>
  <c r="AG31" i="1"/>
  <c r="AL31" i="1"/>
  <c r="BO31" i="1" s="1"/>
  <c r="BL31" i="1"/>
  <c r="AN15" i="1"/>
  <c r="BQ15" i="1" s="1"/>
  <c r="BM15" i="1"/>
  <c r="AN19" i="1"/>
  <c r="BQ19" i="1" s="1"/>
  <c r="AI19" i="1"/>
  <c r="AI25" i="1"/>
  <c r="AN25" i="1"/>
  <c r="BQ25" i="1" s="1"/>
  <c r="AN26" i="1"/>
  <c r="BQ26" i="1" s="1"/>
  <c r="AI26" i="1"/>
  <c r="AI17" i="1"/>
  <c r="AN17" i="1"/>
  <c r="BQ17" i="1" s="1"/>
  <c r="AN4" i="1"/>
  <c r="BQ4" i="1" s="1"/>
  <c r="AI4" i="1"/>
  <c r="AI9" i="1"/>
  <c r="AN9" i="1"/>
  <c r="BQ9" i="1" s="1"/>
  <c r="AN22" i="1"/>
  <c r="BQ22" i="1" s="1"/>
  <c r="AI22" i="1"/>
  <c r="AN5" i="1"/>
  <c r="BQ5" i="1" s="1"/>
  <c r="AI5" i="1"/>
  <c r="AN8" i="1"/>
  <c r="BQ8" i="1" s="1"/>
  <c r="AI8" i="1"/>
  <c r="AN30" i="1"/>
  <c r="BQ30" i="1" s="1"/>
  <c r="AI30" i="1"/>
  <c r="AN3" i="1"/>
  <c r="BQ3" i="1" s="1"/>
  <c r="AI3" i="1"/>
  <c r="AN11" i="1"/>
  <c r="BQ11" i="1" s="1"/>
  <c r="AI11" i="1"/>
  <c r="AI15" i="1"/>
  <c r="AN27" i="1"/>
  <c r="BQ27" i="1" s="1"/>
  <c r="AI27" i="1"/>
  <c r="AI13" i="1"/>
  <c r="AN13" i="1"/>
  <c r="BQ13" i="1" s="1"/>
  <c r="AN23" i="1"/>
  <c r="BQ23" i="1" s="1"/>
  <c r="AI23" i="1"/>
  <c r="AN12" i="1"/>
  <c r="BQ12" i="1" s="1"/>
  <c r="AI12" i="1"/>
  <c r="AN18" i="1"/>
  <c r="BQ18" i="1" s="1"/>
  <c r="AI18" i="1"/>
  <c r="S33" i="1"/>
  <c r="Z31" i="1"/>
  <c r="AD31" i="1" l="1"/>
  <c r="AD36" i="1" s="1"/>
  <c r="BK31" i="1"/>
  <c r="AI31" i="1"/>
  <c r="AN31" i="1"/>
  <c r="BM31" i="1" l="1"/>
  <c r="BQ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SOURCE: Eurostat data for total number of households in 2015, updated 30-05-2016 http://appsso.eurostat.ec.europa.eu/nui/show.do?dataset=lfst_hhnhtych&amp;lang=en</t>
        </r>
      </text>
    </comment>
    <comment ref="C2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SOURCE: http://www.entranze.enerdata.eu</t>
        </r>
      </text>
    </comment>
    <comment ref="D2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SOURCE: ENTRANZE project. Project coordinator was the Energy Economics Group from the Vienna University of Technology. Project partners were: National Consumer Research Centre (FI), Fraunhofer Society for the advancement of applied research (DE), National Renewable Energy Certre (ES), end use Efficiency Research Group, Politecnico di Milano (IT), Öko-Institut e.V. (DE), Sofia Energy Agency (BG), Buildings Performance Institute Europe (BE), Enerdata, with support of ADEME (FR), SEVEn, The Energy Efficiency Center (CZ). http://www.entranze.enerdata.eu/share-of-dwellings-with-gas-systems.html</t>
        </r>
      </text>
    </comment>
    <comment ref="E2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SOURCE: ENTRANZE project
http://www.entranze.enerdata.eu/share-of-dwellings-with-gas-systems.html</t>
        </r>
      </text>
    </comment>
    <comment ref="F2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SOURCE: http://www.entranze.enerdata.eu</t>
        </r>
      </text>
    </comment>
    <comment ref="H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SOURCE: Ecodesign preparatory study for space heaters (2007) - data from BRG Consult for 2004
</t>
        </r>
      </text>
    </comment>
    <comment ref="I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SOURCE: Entranze project http://www.entranze.enerdata.eu/share-of-dwellings-with-electric-systems.html (Total halved to account for high proportion of underfloor heating with these systems)</t>
        </r>
      </text>
    </comment>
    <comment ref="L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SOURCE: VHK ecodesign preparatory study, evidence review and industry analysis.</t>
        </r>
      </text>
    </comment>
    <comment ref="M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Based on work done by Peter Luebke and Les Alexander in 2011 - assume 35% of TRVs over 15 years old
</t>
        </r>
      </text>
    </comment>
    <comment ref="Q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SOURCE: Industry estimated average of numbers of TRVs in homes</t>
        </r>
      </text>
    </comment>
    <comment ref="T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SOURCE: University of Salford study of reduced energy cost from installing TRVs based on a reduction from 20degC to 18degC in rooms other than living room.</t>
        </r>
      </text>
    </comment>
    <comment ref="U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University of Dresden research.</t>
        </r>
      </text>
    </comment>
    <comment ref="V2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SOURCE: European Environment Agency, http://www.eea.europa.eu/data-and-maps/figures/households-energy-consumption-by-end-uses-5 </t>
        </r>
      </text>
    </comment>
    <comment ref="W2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Used to compare total data for robustness - Comparative source: European Environment Agency http://www.eea.europa.eu/data-and-maps/figures/households-energy-consumption-by-end-uses-4</t>
        </r>
      </text>
    </comment>
    <comment ref="AF2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 Carbon Trust energy conversion factors https://www.carbontrust.com/media/18223/ctl153_conversion_factors.pdf</t>
        </r>
      </text>
    </comment>
    <comment ref="AI2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Assumes all savings are on gas heating (other fuel sources would have higher CO2 content)
</t>
        </r>
      </text>
    </comment>
    <comment ref="AK2" authorId="0" shapeId="0" xr:uid="{00000000-0006-0000-0000-000011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SOURCE: Eurostat statistics for 2015
</t>
        </r>
      </text>
    </comment>
    <comment ref="AV2" authorId="0" shapeId="0" xr:uid="{00000000-0006-0000-0000-000012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Based on Ecodesign Lot 1 Preparatory study. Used to estimate number of TRVs being replaced alongside boiler replacement (option E)
</t>
        </r>
      </text>
    </comment>
    <comment ref="AW2" authorId="0" shapeId="0" xr:uid="{00000000-0006-0000-0000-000013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Assumed that the majority of customers will choose the cheapest replacement option between C and D
</t>
        </r>
      </text>
    </comment>
    <comment ref="L4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 data - assumed similar to France
</t>
        </r>
      </text>
    </comment>
    <comment ref="G5" authorId="0" shapeId="0" xr:uid="{00000000-0006-0000-0000-000015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SOURCE: Assumed from incomplete stats from Bulgarian National Statistical Institute, Census 2011 http://episcope.eu/index.php?id=211</t>
        </r>
      </text>
    </comment>
    <comment ref="C6" authorId="0" shapeId="0" xr:uid="{00000000-0006-0000-0000-000016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SOURCE: Euroheat https://www.euroheat.org/knowledge-centre/district-energy-croatia/</t>
        </r>
      </text>
    </comment>
    <comment ref="D6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Assumed similar to Slovenia</t>
        </r>
      </text>
    </comment>
    <comment ref="F6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Assumed similar to Slovenia</t>
        </r>
      </text>
    </comment>
    <comment ref="L6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Assumed similar to Slovenia
</t>
        </r>
      </text>
    </comment>
    <comment ref="F7" authorId="0" shapeId="0" xr:uid="{00000000-0006-0000-0000-00001A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SOURCE: Cyprus Statistical Service, Census 2011 http://episcope.eu/building-typology/country/cy/</t>
        </r>
      </text>
    </comment>
    <comment ref="L7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Assumed similar to Greece</t>
        </r>
      </text>
    </comment>
    <comment ref="AK7" authorId="0" shapeId="0" xr:uid="{00000000-0006-0000-0000-00001C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Assumed same as Greece.
</t>
        </r>
      </text>
    </comment>
    <comment ref="G8" authorId="0" shapeId="0" xr:uid="{00000000-0006-0000-0000-00001D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SOURCE: Episcope website, data drawn from Energy statistics, MoIT 2007. Solid fuel assumed as wood, coke or coal central heating. http://episcope.eu/building-typology/country/cz/</t>
        </r>
      </text>
    </comment>
    <comment ref="L9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Based on work done by Peter Luebke and Les Alexander in 2011
</t>
        </r>
      </text>
    </comment>
    <comment ref="G11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SOURCE: Environmental Change Institute, Oxford University  http://www.eci.ox.ac.uk/research/energy/downloads/countrypictures/cp_finland.pdf</t>
        </r>
      </text>
    </comment>
    <comment ref="L11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Based on work done by Peter Luebke and Les Alexander in 2011</t>
        </r>
      </text>
    </comment>
    <comment ref="AK11" authorId="0" shapeId="0" xr:uid="{00000000-0006-0000-0000-000021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Assumed same as Sweden
</t>
        </r>
      </text>
    </comment>
    <comment ref="C13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SOURCE: BDEW (Federation of Energy and Water) study on the heating market, www.bdew.de</t>
        </r>
      </text>
    </comment>
    <comment ref="F13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SOURCE: BDEW (Federation of Energy and Water) study on the heating market, www.bdew.de</t>
        </r>
      </text>
    </comment>
    <comment ref="G13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SOURCE: BDEW (Federation of Energy and Water) study on the heating market, www.bdew.de</t>
        </r>
      </text>
    </comment>
    <comment ref="F14" authorId="0" shapeId="0" xr:uid="{00000000-0006-0000-0000-000025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SOURCE: Hellenic Statistical Authority -Household budget surveys, press releases (yearly, 2008-2012) http://episcope.eu/building-typology/country/gr/</t>
        </r>
      </text>
    </comment>
    <comment ref="L14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Based on work done by Peter Luebke and Les Alexander in 2011</t>
        </r>
      </text>
    </comment>
    <comment ref="G15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SOURCE: Episcope study based on Hungarian census http://episcope.eu/building-typology/country/hu/</t>
        </r>
      </text>
    </comment>
    <comment ref="L16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 data - assume similar to UK
</t>
        </r>
      </text>
    </comment>
    <comment ref="C18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SOURCE: Euroheat http://www.euroheat.org/knowledge-centre/district-energy-latvia/</t>
        </r>
      </text>
    </comment>
    <comment ref="L20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Assumed between Netherlands and France
</t>
        </r>
      </text>
    </comment>
    <comment ref="F21" authorId="0" shapeId="0" xr:uid="{00000000-0006-0000-0000-00002B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Assumed similar to Cyprus</t>
        </r>
      </text>
    </comment>
    <comment ref="L21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Assumed similar to Greece</t>
        </r>
      </text>
    </comment>
    <comment ref="AK21" authorId="0" shapeId="0" xr:uid="{00000000-0006-0000-0000-00002D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Assumed same as Greece</t>
        </r>
      </text>
    </comment>
    <comment ref="C23" authorId="0" shapeId="0" xr:uid="{00000000-0006-0000-0000-00002E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SOURCE: Energy Consumption in Households in 2009, Central Statistical Office Warsaw 2012 http://stat.gov.pl/cps/rde/xbcr/gus/EE_energy_consumption_in_households_2009.pdf</t>
        </r>
      </text>
    </comment>
    <comment ref="D23" authorId="0" shapeId="0" xr:uid="{00000000-0006-0000-0000-00002F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SOURCE: Energy Consumption in Households in 2009, Central Statistical Office Warsaw 2012 http://stat.gov.pl/cps/rde/xbcr/gus/EE_energy_consumption_in_households_2009.pdf</t>
        </r>
      </text>
    </comment>
    <comment ref="F23" authorId="0" shapeId="0" xr:uid="{00000000-0006-0000-0000-000030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SOURCE: Energy Consumption in Households in 2009, Central Statistical Office Warsaw 2012 http://stat.gov.pl/cps/rde/xbcr/gus/EE_energy_consumption_in_households_2009.pdf</t>
        </r>
      </text>
    </comment>
    <comment ref="G23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SOURCE: Energy Consumption in Households in 2009, Central Statistical Office Warsaw 2012 http://stat.gov.pl/cps/rde/xbcr/gus/EE_energy_consumption_in_households_2009.pdf</t>
        </r>
      </text>
    </comment>
    <comment ref="L23" authorId="0" shapeId="0" xr:uid="{00000000-0006-0000-0000-000032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SOURCE: Energy Consumption in Households
 in 2009, Central Statistical Office Warsaw 2012 (Figure for 2009 37% increased by 10% to reflect change over time) http://stat.gov.pl/cps/rde/xbcr/gus/EE_energy_consumption_in_households_2009.pdf</t>
        </r>
      </text>
    </comment>
    <comment ref="L24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Based on work done by Peter Luebke and Les Alexander in 2011
</t>
        </r>
      </text>
    </comment>
    <comment ref="C27" authorId="0" shapeId="0" xr:uid="{00000000-0006-0000-0000-000034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SOURCE Republic of Slovenia Statistical Office http://pxweb.stat.si/pxweb/Database/Environment/18_energy/07_18154_housh_consumption/07_18154_housh_consumption.asp</t>
        </r>
      </text>
    </comment>
    <comment ref="D27" authorId="0" shapeId="0" xr:uid="{00000000-0006-0000-0000-000035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SOURCE Republic of Slovenia Statistical Office http://pxweb.stat.si/pxweb/Database/Environment/18_energy/07_18154_housh_consumption/07_18154_housh_consumption.asp</t>
        </r>
      </text>
    </comment>
    <comment ref="F27" authorId="0" shapeId="0" xr:uid="{00000000-0006-0000-0000-000036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SOURCE Republic of Slovenia Statistical Office http://pxweb.stat.si/pxweb/Database/Environment/18_energy/07_18154_housh_consumption/07_18154_housh_consumption.asp</t>
        </r>
      </text>
    </comment>
    <comment ref="C29" authorId="0" shapeId="0" xr:uid="{00000000-0006-0000-0000-000037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SOURCE: http://www.res-h-policy.eu/downloads/Swedish_district_heating_case-study_(D5)_final.pdf</t>
        </r>
      </text>
    </comment>
    <comment ref="L29" authorId="0" shapeId="0" xr:uid="{00000000-0006-0000-0000-000038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Based on work done by Peter Luebke and Les Alexander in 2011
</t>
        </r>
      </text>
    </comment>
    <comment ref="L30" authorId="0" shapeId="0" xr:uid="{00000000-0006-0000-0000-000039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Source: Data from the Energy Follow-up Survey (EFUS) to the English House Condition Survey, reported in ‘How heating controls affect domestic energy demand: A Rapid Evidence Assessment’, DECC (January 2014) </t>
        </r>
      </text>
    </comment>
    <comment ref="AD35" authorId="0" shapeId="0" xr:uid="{00000000-0006-0000-0000-00003A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https://ec.europa.eu/energy/en/topics/energy-efficiency/heating-and-cooling</t>
        </r>
      </text>
    </comment>
  </commentList>
</comments>
</file>

<file path=xl/sharedStrings.xml><?xml version="1.0" encoding="utf-8"?>
<sst xmlns="http://schemas.openxmlformats.org/spreadsheetml/2006/main" count="108" uniqueCount="104">
  <si>
    <t>Country</t>
  </si>
  <si>
    <t>Austria</t>
  </si>
  <si>
    <t>Belgium</t>
  </si>
  <si>
    <t>Bulgaria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</si>
  <si>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</si>
  <si>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</si>
  <si>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</si>
  <si>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</si>
  <si>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</si>
  <si>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</si>
  <si>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</si>
  <si>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</si>
  <si>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</si>
  <si>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</si>
  <si>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</si>
  <si>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</si>
  <si>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</si>
  <si>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</si>
  <si>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</si>
  <si>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</si>
  <si>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</si>
  <si>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</si>
  <si>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</si>
  <si>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</si>
  <si>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</si>
  <si>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</si>
  <si>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</si>
  <si>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United Kingdom</t>
  </si>
  <si>
    <t>Number of houses with wet central heating</t>
  </si>
  <si>
    <t>% of homes that have TRVs</t>
  </si>
  <si>
    <t>% of homes with no TRVs</t>
  </si>
  <si>
    <t>Number of homes with no TRVs</t>
  </si>
  <si>
    <t>Croatia</t>
  </si>
  <si>
    <t>TOTAL</t>
  </si>
  <si>
    <t>Number of radiators with MRV only</t>
  </si>
  <si>
    <t>Homes with potential for TRV upgrade</t>
  </si>
  <si>
    <t>Energy saving from replacing MRVs with TRVs</t>
  </si>
  <si>
    <t>Average annual energy used per dwelling for heating (kWh)</t>
  </si>
  <si>
    <t>Potential energy saving from replacing MRVs with TRVs (GWh)</t>
  </si>
  <si>
    <t>TRV savings</t>
  </si>
  <si>
    <t>Total potential energy saving from TRV upgrades in EU homes (GWh)</t>
  </si>
  <si>
    <t>% of households with district heating</t>
  </si>
  <si>
    <t>% of households with conventional gas boilers</t>
  </si>
  <si>
    <t>% of households with condensing gas boilers</t>
  </si>
  <si>
    <t>% of households with oil boilers</t>
  </si>
  <si>
    <t>Total % households with a boiler system</t>
  </si>
  <si>
    <t>TRVs estimate</t>
  </si>
  <si>
    <t>Housing data (including district heating)</t>
  </si>
  <si>
    <t>Number of households (2015)</t>
  </si>
  <si>
    <t>% of households with solid fuel boilers</t>
  </si>
  <si>
    <t>Average number of radiators per dwelling</t>
  </si>
  <si>
    <t>Heating fuel price (gas) per KWh</t>
  </si>
  <si>
    <t>Energy Use</t>
  </si>
  <si>
    <t>Total energy used for heating homes (GWh)</t>
  </si>
  <si>
    <t>EU annual savings potential (GWh)</t>
  </si>
  <si>
    <t xml:space="preserve">CO2 emissions from natural gas (kg CO2 per kWh gas) </t>
  </si>
  <si>
    <t xml:space="preserve">Total potential saving in CO2 emissions from TRV upgrades in EU homes (million tonnes CO2) </t>
  </si>
  <si>
    <t>Total potential cost saving from TRV upgrades in EU homes (million €)</t>
  </si>
  <si>
    <t xml:space="preserve">EU annual cost saving (€million) </t>
  </si>
  <si>
    <t>EU annual CO2 reduction potential (Mt CO2)</t>
  </si>
  <si>
    <t>Estimated annual replacement rate of boilers</t>
  </si>
  <si>
    <t>Methods of TRV upgrade</t>
  </si>
  <si>
    <t xml:space="preserve">A. Replacement of TRV head only </t>
  </si>
  <si>
    <t>B. Replacement of head and insert without draining the system</t>
  </si>
  <si>
    <t>C. Replacement of head and valve without draining down system</t>
  </si>
  <si>
    <t>D. Replacement of head and valve plus system drain down</t>
  </si>
  <si>
    <t>E. Replacement of head and valve on system already drained down (e.g. with boiler replacement)</t>
  </si>
  <si>
    <t xml:space="preserve">Upgrade type E </t>
  </si>
  <si>
    <t>Breakdown of TRV replacements over 5 year period (homes without TRVs)</t>
  </si>
  <si>
    <t>Upgrade type C</t>
  </si>
  <si>
    <t>Upgrade type D</t>
  </si>
  <si>
    <t>Upgrade type A</t>
  </si>
  <si>
    <t>Upgrade type B</t>
  </si>
  <si>
    <t xml:space="preserve">Upgrade type C </t>
  </si>
  <si>
    <t>Average installed cost</t>
  </si>
  <si>
    <t>Total installed cost for all homes without TRVs</t>
  </si>
  <si>
    <t>Total installed cost for all homes with TRVs over 15 years old</t>
  </si>
  <si>
    <t>Replacing MRVs with TRVs (years)</t>
  </si>
  <si>
    <t>Payback (all installations)</t>
  </si>
  <si>
    <t>Return on investment based on 15 year lifetime (all installations)</t>
  </si>
  <si>
    <t>Replacing MRVs with TRVs (total saving compared to initial cost)</t>
  </si>
  <si>
    <t>Potential cost saving from replacing MRVs (million €)</t>
  </si>
  <si>
    <t>% of households with electric boilers</t>
  </si>
  <si>
    <t>% of households with heat pumps</t>
  </si>
  <si>
    <t>% of homes with TRVs older than 20 years old</t>
  </si>
  <si>
    <t>Number of homes with TRVs over 20 years old</t>
  </si>
  <si>
    <t>Number of radiators with TRVs over 20 years old</t>
  </si>
  <si>
    <t>Energy saving from replacing TRVs over 20 years old with new ones</t>
  </si>
  <si>
    <t>Potential energy saving from replacing TRVs over 20 years old with new ones (GWh)</t>
  </si>
  <si>
    <t>Potential cost saving from replacing TRVs over 20 years old (million €)</t>
  </si>
  <si>
    <t>Breakdown of TRV replacements over 5 year period (homes with TRVs over 20 years old)</t>
  </si>
  <si>
    <t>Replacing TRVs over 20 years old (years)</t>
  </si>
  <si>
    <t>Replacing both MRVs and TRVs over 20 years old (years)</t>
  </si>
  <si>
    <t>Replacing TRVs over 20 years old (total saving compared to initial cost)</t>
  </si>
  <si>
    <t>Replacing both MRVs and TRVs over 20 years old (total saving compared to initial cost)</t>
  </si>
  <si>
    <t>Potential saving in CO2 emissions from replacing MRVs with TRVs (GWh)</t>
  </si>
  <si>
    <t>Potential saving in CO2 emissions from replacing TRVs over 20 years old with new ones (GWh)</t>
  </si>
  <si>
    <t>EU annual savings potential (Mtoe)</t>
  </si>
  <si>
    <t>Potential energy saving from replacing MRVs with TRVs (Mtoe)</t>
  </si>
  <si>
    <t>Potential energy saving from replacing TRVs over 20 years old with new ones (Mtoe)</t>
  </si>
  <si>
    <t>Total potential energy saving from TRV upgrades in EU homes (Mtoe)</t>
  </si>
  <si>
    <t>Total EU household energy used for heating and hot water</t>
  </si>
  <si>
    <t>Mtoe</t>
  </si>
  <si>
    <t>% saving TRVs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</si>
</sst>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[$€-2]\ #,##0.000"/>
    <numFmt numFmtId="166" formatCode="[$€-2]\ #,##0"/>
    <numFmt numFmtId="167" formatCode="[$€-2]\ #,##0.00"/>
    <numFmt numFmtId="168" formatCode="#,##0.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Fill="0" applyProtection="0"/>
    <xf numFmtId="9" fontId="11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0" applyFont="1"/>
    <xf numFmtId="164" fontId="0" fillId="0" borderId="1" xfId="0" applyNumberFormat="1" applyFont="1" applyFill="1" applyBorder="1" applyAlignment="1">
      <alignment horizontal="center"/>
    </xf>
    <xf numFmtId="0" fontId="5" fillId="0" borderId="2" xfId="0" applyFont="1" applyBorder="1" applyAlignment="1">
      <alignment vertical="top"/>
    </xf>
    <xf numFmtId="0" fontId="0" fillId="0" borderId="2" xfId="0" applyFont="1" applyFill="1" applyBorder="1" applyAlignment="1">
      <alignment horizontal="left" vertical="top" wrapText="1"/>
    </xf>
    <xf numFmtId="0" fontId="0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0" borderId="9" xfId="0" applyFont="1" applyFill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3" fontId="1" fillId="0" borderId="8" xfId="0" applyNumberFormat="1" applyFont="1" applyBorder="1"/>
    <xf numFmtId="0" fontId="1" fillId="0" borderId="10" xfId="0" applyFont="1" applyBorder="1"/>
    <xf numFmtId="165" fontId="6" fillId="0" borderId="0" xfId="0" applyNumberFormat="1" applyFont="1" applyFill="1" applyBorder="1" applyAlignment="1">
      <alignment horizontal="center"/>
    </xf>
    <xf numFmtId="167" fontId="1" fillId="0" borderId="0" xfId="0" applyNumberFormat="1" applyFont="1"/>
    <xf numFmtId="3" fontId="0" fillId="0" borderId="6" xfId="0" applyNumberFormat="1" applyFont="1" applyFill="1" applyBorder="1" applyAlignment="1">
      <alignment horizontal="center" vertical="top" wrapText="1"/>
    </xf>
    <xf numFmtId="0" fontId="0" fillId="3" borderId="2" xfId="0" applyFont="1" applyFill="1" applyBorder="1" applyAlignment="1">
      <alignment horizontal="left"/>
    </xf>
    <xf numFmtId="3" fontId="1" fillId="0" borderId="12" xfId="0" applyNumberFormat="1" applyFont="1" applyBorder="1"/>
    <xf numFmtId="3" fontId="1" fillId="0" borderId="15" xfId="0" applyNumberFormat="1" applyFont="1" applyBorder="1"/>
    <xf numFmtId="3" fontId="1" fillId="0" borderId="0" xfId="0" applyNumberFormat="1" applyFont="1" applyBorder="1"/>
    <xf numFmtId="4" fontId="1" fillId="0" borderId="0" xfId="0" applyNumberFormat="1" applyFont="1" applyBorder="1"/>
    <xf numFmtId="0" fontId="5" fillId="0" borderId="0" xfId="0" applyFont="1" applyBorder="1" applyAlignment="1">
      <alignment vertical="top"/>
    </xf>
    <xf numFmtId="4" fontId="1" fillId="0" borderId="10" xfId="0" applyNumberFormat="1" applyFont="1" applyBorder="1"/>
    <xf numFmtId="0" fontId="5" fillId="0" borderId="0" xfId="0" applyFont="1" applyBorder="1" applyAlignment="1">
      <alignment horizontal="center" vertical="top" wrapText="1"/>
    </xf>
    <xf numFmtId="165" fontId="6" fillId="0" borderId="6" xfId="0" applyNumberFormat="1" applyFont="1" applyFill="1" applyBorder="1" applyAlignment="1">
      <alignment horizontal="center"/>
    </xf>
    <xf numFmtId="4" fontId="1" fillId="0" borderId="8" xfId="0" applyNumberFormat="1" applyFont="1" applyBorder="1"/>
    <xf numFmtId="166" fontId="6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0" fillId="0" borderId="14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Fill="1" applyAlignment="1">
      <alignment vertical="top" wrapText="1"/>
    </xf>
    <xf numFmtId="3" fontId="0" fillId="0" borderId="6" xfId="0" applyNumberFormat="1" applyFont="1" applyBorder="1"/>
    <xf numFmtId="3" fontId="0" fillId="0" borderId="1" xfId="0" applyNumberFormat="1" applyFont="1" applyBorder="1"/>
    <xf numFmtId="9" fontId="0" fillId="0" borderId="6" xfId="0" applyNumberFormat="1" applyFont="1" applyBorder="1"/>
    <xf numFmtId="9" fontId="0" fillId="0" borderId="1" xfId="0" applyNumberFormat="1" applyFont="1" applyBorder="1"/>
    <xf numFmtId="3" fontId="0" fillId="0" borderId="2" xfId="0" applyNumberFormat="1" applyFont="1" applyBorder="1"/>
    <xf numFmtId="3" fontId="0" fillId="0" borderId="14" xfId="0" applyNumberFormat="1" applyFont="1" applyBorder="1"/>
    <xf numFmtId="9" fontId="0" fillId="0" borderId="2" xfId="0" applyNumberFormat="1" applyFont="1" applyBorder="1"/>
    <xf numFmtId="3" fontId="0" fillId="0" borderId="7" xfId="0" applyNumberFormat="1" applyFont="1" applyBorder="1"/>
    <xf numFmtId="3" fontId="0" fillId="0" borderId="0" xfId="0" applyNumberFormat="1" applyFont="1" applyBorder="1"/>
    <xf numFmtId="168" fontId="0" fillId="0" borderId="6" xfId="0" applyNumberFormat="1" applyFont="1" applyBorder="1"/>
    <xf numFmtId="4" fontId="0" fillId="0" borderId="7" xfId="0" applyNumberFormat="1" applyFont="1" applyBorder="1"/>
    <xf numFmtId="4" fontId="0" fillId="0" borderId="0" xfId="0" applyNumberFormat="1" applyFont="1" applyBorder="1"/>
    <xf numFmtId="4" fontId="0" fillId="0" borderId="0" xfId="0" applyNumberFormat="1" applyFont="1"/>
    <xf numFmtId="0" fontId="0" fillId="0" borderId="0" xfId="0" applyFont="1"/>
    <xf numFmtId="164" fontId="9" fillId="0" borderId="1" xfId="0" applyNumberFormat="1" applyFont="1" applyFill="1" applyBorder="1" applyAlignment="1" applyProtection="1">
      <alignment horizontal="right"/>
    </xf>
    <xf numFmtId="0" fontId="10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167" fontId="0" fillId="0" borderId="1" xfId="0" applyNumberFormat="1" applyFill="1" applyBorder="1"/>
    <xf numFmtId="167" fontId="0" fillId="0" borderId="6" xfId="0" applyNumberFormat="1" applyFill="1" applyBorder="1"/>
    <xf numFmtId="167" fontId="0" fillId="0" borderId="7" xfId="0" applyNumberFormat="1" applyFill="1" applyBorder="1"/>
    <xf numFmtId="0" fontId="1" fillId="0" borderId="8" xfId="0" applyFont="1" applyBorder="1"/>
    <xf numFmtId="0" fontId="1" fillId="0" borderId="9" xfId="0" applyFont="1" applyBorder="1"/>
    <xf numFmtId="0" fontId="0" fillId="0" borderId="1" xfId="0" applyFont="1" applyFill="1" applyBorder="1" applyAlignment="1">
      <alignment vertical="top" wrapText="1"/>
    </xf>
    <xf numFmtId="9" fontId="6" fillId="0" borderId="1" xfId="0" applyNumberFormat="1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center"/>
    </xf>
    <xf numFmtId="0" fontId="0" fillId="3" borderId="6" xfId="0" applyFont="1" applyFill="1" applyBorder="1" applyAlignment="1">
      <alignment vertical="top" wrapText="1"/>
    </xf>
    <xf numFmtId="9" fontId="6" fillId="3" borderId="6" xfId="0" applyNumberFormat="1" applyFont="1" applyFill="1" applyBorder="1" applyAlignment="1">
      <alignment horizontal="center"/>
    </xf>
    <xf numFmtId="166" fontId="6" fillId="0" borderId="7" xfId="0" applyNumberFormat="1" applyFont="1" applyFill="1" applyBorder="1" applyAlignment="1">
      <alignment horizontal="center"/>
    </xf>
    <xf numFmtId="0" fontId="0" fillId="0" borderId="6" xfId="0" applyFont="1" applyFill="1" applyBorder="1" applyAlignment="1">
      <alignment vertical="top" wrapText="1"/>
    </xf>
    <xf numFmtId="9" fontId="6" fillId="0" borderId="6" xfId="0" applyNumberFormat="1" applyFont="1" applyFill="1" applyBorder="1" applyAlignment="1">
      <alignment horizontal="center"/>
    </xf>
    <xf numFmtId="4" fontId="0" fillId="0" borderId="1" xfId="0" applyNumberFormat="1" applyFont="1" applyBorder="1"/>
    <xf numFmtId="4" fontId="0" fillId="0" borderId="6" xfId="0" applyNumberFormat="1" applyFont="1" applyBorder="1"/>
    <xf numFmtId="166" fontId="1" fillId="0" borderId="10" xfId="0" applyNumberFormat="1" applyFont="1" applyBorder="1"/>
    <xf numFmtId="4" fontId="1" fillId="0" borderId="9" xfId="0" applyNumberFormat="1" applyFont="1" applyBorder="1"/>
    <xf numFmtId="9" fontId="0" fillId="0" borderId="7" xfId="0" applyNumberFormat="1" applyFont="1" applyBorder="1"/>
    <xf numFmtId="0" fontId="5" fillId="0" borderId="0" xfId="0" applyFont="1" applyBorder="1" applyAlignment="1">
      <alignment horizontal="center" vertical="top"/>
    </xf>
    <xf numFmtId="0" fontId="0" fillId="0" borderId="0" xfId="0" applyFont="1" applyAlignment="1">
      <alignment wrapText="1"/>
    </xf>
    <xf numFmtId="9" fontId="0" fillId="0" borderId="0" xfId="2" applyFont="1"/>
    <xf numFmtId="164" fontId="9" fillId="0" borderId="9" xfId="0" applyNumberFormat="1" applyFont="1" applyFill="1" applyBorder="1" applyAlignment="1" applyProtection="1">
      <alignment horizontal="right"/>
    </xf>
    <xf numFmtId="0" fontId="1" fillId="0" borderId="12" xfId="0" applyFont="1" applyBorder="1"/>
    <xf numFmtId="0" fontId="0" fillId="4" borderId="7" xfId="0" applyFont="1" applyFill="1" applyBorder="1" applyAlignment="1">
      <alignment vertical="top" wrapText="1"/>
    </xf>
    <xf numFmtId="3" fontId="0" fillId="4" borderId="7" xfId="0" applyNumberFormat="1" applyFont="1" applyFill="1" applyBorder="1"/>
    <xf numFmtId="3" fontId="1" fillId="4" borderId="10" xfId="0" applyNumberFormat="1" applyFont="1" applyFill="1" applyBorder="1"/>
    <xf numFmtId="9" fontId="0" fillId="0" borderId="10" xfId="0" applyNumberFormat="1" applyFont="1" applyBorder="1"/>
    <xf numFmtId="9" fontId="0" fillId="0" borderId="8" xfId="0" applyNumberFormat="1" applyFont="1" applyBorder="1"/>
    <xf numFmtId="9" fontId="0" fillId="0" borderId="9" xfId="0" applyNumberFormat="1" applyFont="1" applyBorder="1"/>
    <xf numFmtId="0" fontId="0" fillId="0" borderId="21" xfId="0" applyFont="1" applyBorder="1"/>
    <xf numFmtId="3" fontId="1" fillId="0" borderId="22" xfId="0" applyNumberFormat="1" applyFont="1" applyBorder="1"/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5" fillId="0" borderId="17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  <xf numFmtId="0" fontId="5" fillId="0" borderId="19" xfId="0" applyFont="1" applyBorder="1" applyAlignment="1">
      <alignment horizontal="center" vertical="top"/>
    </xf>
    <xf numFmtId="0" fontId="5" fillId="0" borderId="20" xfId="0" applyFont="1" applyBorder="1" applyAlignment="1">
      <alignment horizontal="center" vertical="top"/>
    </xf>
    <xf numFmtId="167" fontId="0" fillId="0" borderId="0" xfId="0" applyNumberFormat="1" applyFill="1" applyBorder="1"/>
  </cellXfs>
  <cellStyles count="3">
    <cellStyle name="Normal" xfId="0" builtinId="0"/>
    <cellStyle name="Normal 2" xfId="1" xr:uid="{00000000-0005-0000-0000-000001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36"/>
  <sheetViews>
    <sheetView tabSelected="1" zoomScale="80" zoomScaleNormal="80" workbookViewId="0">
      <pane xSplit="1" topLeftCell="AR1" activePane="topRight" state="frozen"/>
      <selection pane="topRight" activeCell="BG12" sqref="BG12"/>
    </sheetView>
  </sheetViews>
  <sheetFormatPr defaultColWidth="9.1328125" defaultRowHeight="14.25" x14ac:dyDescent="0.45"/>
  <cols>
    <col min="1" max="1" width="23.73046875" style="50" customWidth="1"/>
    <col min="2" max="2" width="13.73046875" style="50" customWidth="1"/>
    <col min="3" max="10" width="14.265625" style="50" customWidth="1"/>
    <col min="11" max="11" width="16.86328125" style="50" customWidth="1"/>
    <col min="12" max="14" width="12.73046875" style="50" customWidth="1"/>
    <col min="15" max="15" width="16.86328125" style="50" customWidth="1"/>
    <col min="16" max="16" width="17.73046875" style="50" customWidth="1"/>
    <col min="17" max="17" width="10.3984375" style="50" customWidth="1"/>
    <col min="18" max="22" width="14.73046875" style="50" customWidth="1"/>
    <col min="23" max="23" width="19.265625" style="50" customWidth="1"/>
    <col min="24" max="26" width="14.73046875" style="50" customWidth="1"/>
    <col min="27" max="27" width="1.73046875" style="50" customWidth="1"/>
    <col min="28" max="30" width="14.73046875" style="50" customWidth="1"/>
    <col min="31" max="31" width="1.86328125" style="50" customWidth="1"/>
    <col min="32" max="35" width="14.73046875" style="50" customWidth="1"/>
    <col min="36" max="36" width="2" style="50" customWidth="1"/>
    <col min="37" max="40" width="14.73046875" style="50" customWidth="1"/>
    <col min="41" max="41" width="2.3984375" style="50" customWidth="1"/>
    <col min="42" max="46" width="14.59765625" style="50" customWidth="1"/>
    <col min="47" max="47" width="2.3984375" style="50" customWidth="1"/>
    <col min="48" max="52" width="9.265625" style="50" bestFit="1" customWidth="1"/>
    <col min="53" max="53" width="17.59765625" style="50" customWidth="1"/>
    <col min="54" max="54" width="2.3984375" style="50" customWidth="1"/>
    <col min="55" max="60" width="9.265625" style="50" bestFit="1" customWidth="1"/>
    <col min="61" max="61" width="15" style="50" customWidth="1"/>
    <col min="62" max="62" width="2.3984375" style="50" customWidth="1"/>
    <col min="63" max="65" width="12.59765625" style="50" customWidth="1"/>
    <col min="66" max="66" width="2.59765625" style="50" customWidth="1"/>
    <col min="67" max="69" width="12.73046875" style="50" customWidth="1"/>
    <col min="70" max="70" width="16.265625" style="50" customWidth="1"/>
    <col min="71" max="16384" width="9.1328125" style="50"/>
  </cols>
  <sheetData>
    <row r="1" spans="1:69" s="52" customFormat="1" ht="42" customHeight="1" x14ac:dyDescent="0.45">
      <c r="A1" s="3" t="s">
        <v>0</v>
      </c>
      <c r="B1" s="85" t="s">
        <v>47</v>
      </c>
      <c r="C1" s="86"/>
      <c r="D1" s="86"/>
      <c r="E1" s="86"/>
      <c r="F1" s="86"/>
      <c r="G1" s="86"/>
      <c r="H1" s="86"/>
      <c r="I1" s="86"/>
      <c r="J1" s="86"/>
      <c r="K1" s="86"/>
      <c r="L1" s="85" t="s">
        <v>35</v>
      </c>
      <c r="M1" s="86"/>
      <c r="N1" s="86"/>
      <c r="O1" s="86"/>
      <c r="P1" s="92"/>
      <c r="Q1" s="85" t="s">
        <v>46</v>
      </c>
      <c r="R1" s="86"/>
      <c r="S1" s="87"/>
      <c r="T1" s="85" t="s">
        <v>39</v>
      </c>
      <c r="U1" s="92"/>
      <c r="V1" s="93" t="s">
        <v>52</v>
      </c>
      <c r="W1" s="94"/>
      <c r="X1" s="91" t="s">
        <v>54</v>
      </c>
      <c r="Y1" s="86"/>
      <c r="Z1" s="87"/>
      <c r="AA1" s="72"/>
      <c r="AB1" s="101" t="s">
        <v>97</v>
      </c>
      <c r="AC1" s="102"/>
      <c r="AD1" s="103"/>
      <c r="AE1" s="20"/>
      <c r="AF1" s="95" t="s">
        <v>59</v>
      </c>
      <c r="AG1" s="96"/>
      <c r="AH1" s="96"/>
      <c r="AI1" s="97"/>
      <c r="AJ1" s="22"/>
      <c r="AK1" s="95" t="s">
        <v>58</v>
      </c>
      <c r="AL1" s="96"/>
      <c r="AM1" s="96"/>
      <c r="AN1" s="97"/>
      <c r="AO1" s="20"/>
      <c r="AP1" s="98" t="s">
        <v>61</v>
      </c>
      <c r="AQ1" s="99"/>
      <c r="AR1" s="99"/>
      <c r="AS1" s="99"/>
      <c r="AT1" s="100"/>
      <c r="AU1" s="26"/>
      <c r="AV1" s="95" t="s">
        <v>68</v>
      </c>
      <c r="AW1" s="96"/>
      <c r="AX1" s="96"/>
      <c r="AY1" s="96"/>
      <c r="AZ1" s="96"/>
      <c r="BA1" s="97"/>
      <c r="BB1" s="26"/>
      <c r="BC1" s="95" t="s">
        <v>90</v>
      </c>
      <c r="BD1" s="96"/>
      <c r="BE1" s="96"/>
      <c r="BF1" s="96"/>
      <c r="BG1" s="96"/>
      <c r="BH1" s="96"/>
      <c r="BI1" s="97"/>
      <c r="BJ1" s="26"/>
      <c r="BK1" s="85" t="s">
        <v>78</v>
      </c>
      <c r="BL1" s="86"/>
      <c r="BM1" s="87"/>
      <c r="BN1" s="53"/>
      <c r="BO1" s="88" t="s">
        <v>79</v>
      </c>
      <c r="BP1" s="89"/>
      <c r="BQ1" s="90"/>
    </row>
    <row r="2" spans="1:69" s="27" customFormat="1" ht="106.5" customHeight="1" x14ac:dyDescent="0.45">
      <c r="A2" s="4"/>
      <c r="B2" s="14" t="s">
        <v>48</v>
      </c>
      <c r="C2" s="28" t="s">
        <v>41</v>
      </c>
      <c r="D2" s="28" t="s">
        <v>42</v>
      </c>
      <c r="E2" s="28" t="s">
        <v>43</v>
      </c>
      <c r="F2" s="28" t="s">
        <v>44</v>
      </c>
      <c r="G2" s="28" t="s">
        <v>49</v>
      </c>
      <c r="H2" s="28" t="s">
        <v>82</v>
      </c>
      <c r="I2" s="28" t="s">
        <v>83</v>
      </c>
      <c r="J2" s="28" t="s">
        <v>45</v>
      </c>
      <c r="K2" s="29" t="s">
        <v>28</v>
      </c>
      <c r="L2" s="30" t="s">
        <v>29</v>
      </c>
      <c r="M2" s="29" t="s">
        <v>84</v>
      </c>
      <c r="N2" s="29" t="s">
        <v>30</v>
      </c>
      <c r="O2" s="29" t="s">
        <v>31</v>
      </c>
      <c r="P2" s="31" t="s">
        <v>85</v>
      </c>
      <c r="Q2" s="30" t="s">
        <v>50</v>
      </c>
      <c r="R2" s="32" t="s">
        <v>34</v>
      </c>
      <c r="S2" s="33" t="s">
        <v>86</v>
      </c>
      <c r="T2" s="65" t="s">
        <v>36</v>
      </c>
      <c r="U2" s="31" t="s">
        <v>87</v>
      </c>
      <c r="V2" s="65" t="s">
        <v>37</v>
      </c>
      <c r="W2" s="77" t="s">
        <v>53</v>
      </c>
      <c r="X2" s="32" t="s">
        <v>38</v>
      </c>
      <c r="Y2" s="29" t="s">
        <v>88</v>
      </c>
      <c r="Z2" s="33" t="s">
        <v>40</v>
      </c>
      <c r="AA2" s="34"/>
      <c r="AB2" s="30" t="s">
        <v>98</v>
      </c>
      <c r="AC2" s="29" t="s">
        <v>99</v>
      </c>
      <c r="AD2" s="33" t="s">
        <v>100</v>
      </c>
      <c r="AE2" s="34"/>
      <c r="AF2" s="30" t="s">
        <v>55</v>
      </c>
      <c r="AG2" s="29" t="s">
        <v>95</v>
      </c>
      <c r="AH2" s="29" t="s">
        <v>96</v>
      </c>
      <c r="AI2" s="33" t="s">
        <v>56</v>
      </c>
      <c r="AJ2" s="34"/>
      <c r="AK2" s="65" t="s">
        <v>51</v>
      </c>
      <c r="AL2" s="29" t="s">
        <v>81</v>
      </c>
      <c r="AM2" s="29" t="s">
        <v>89</v>
      </c>
      <c r="AN2" s="33" t="s">
        <v>57</v>
      </c>
      <c r="AO2" s="34"/>
      <c r="AP2" s="30" t="s">
        <v>62</v>
      </c>
      <c r="AQ2" s="29" t="s">
        <v>63</v>
      </c>
      <c r="AR2" s="29" t="s">
        <v>64</v>
      </c>
      <c r="AS2" s="29" t="s">
        <v>65</v>
      </c>
      <c r="AT2" s="33" t="s">
        <v>66</v>
      </c>
      <c r="AU2" s="36"/>
      <c r="AV2" s="62" t="s">
        <v>60</v>
      </c>
      <c r="AW2" s="59" t="s">
        <v>69</v>
      </c>
      <c r="AX2" s="59" t="s">
        <v>70</v>
      </c>
      <c r="AY2" s="59" t="s">
        <v>67</v>
      </c>
      <c r="AZ2" s="59" t="s">
        <v>74</v>
      </c>
      <c r="BA2" s="33" t="s">
        <v>75</v>
      </c>
      <c r="BB2" s="35"/>
      <c r="BC2" s="65" t="s">
        <v>71</v>
      </c>
      <c r="BD2" s="59" t="s">
        <v>72</v>
      </c>
      <c r="BE2" s="59" t="s">
        <v>73</v>
      </c>
      <c r="BF2" s="59" t="s">
        <v>70</v>
      </c>
      <c r="BG2" s="59" t="s">
        <v>67</v>
      </c>
      <c r="BH2" s="59" t="s">
        <v>74</v>
      </c>
      <c r="BI2" s="33" t="s">
        <v>76</v>
      </c>
      <c r="BJ2" s="35"/>
      <c r="BK2" s="30" t="s">
        <v>77</v>
      </c>
      <c r="BL2" s="29" t="s">
        <v>91</v>
      </c>
      <c r="BM2" s="33" t="s">
        <v>92</v>
      </c>
      <c r="BN2" s="35"/>
      <c r="BO2" s="30" t="s">
        <v>80</v>
      </c>
      <c r="BP2" s="29" t="s">
        <v>93</v>
      </c>
      <c r="BQ2" s="33" t="s">
        <v>94</v>
      </c>
    </row>
    <row r="3" spans="1:69" x14ac:dyDescent="0.45">
      <c r="A3" s="5" t="s">
        <v>1</v>
      </c>
      <c r="B3" s="37">
        <v>3815900</v>
      </c>
      <c r="C3" s="2">
        <v>0.18509102266318478</v>
      </c>
      <c r="D3" s="51">
        <v>0.28996566000000001</v>
      </c>
      <c r="E3" s="51">
        <v>0.02</v>
      </c>
      <c r="F3" s="51">
        <v>0.26941394979406458</v>
      </c>
      <c r="G3" s="51"/>
      <c r="H3" s="51"/>
      <c r="I3" s="51">
        <f>0.5*1.97%</f>
        <v>9.8499999999999994E-3</v>
      </c>
      <c r="J3" s="2">
        <f>D3+E3+F3+C3+G3+H3+I3</f>
        <v>0.77432063245724947</v>
      </c>
      <c r="K3" s="38">
        <f t="shared" ref="K3:K30" si="0">B3*J3</f>
        <v>2954730.1013936182</v>
      </c>
      <c r="L3" s="39">
        <v>0.47</v>
      </c>
      <c r="M3" s="40">
        <f>(0.35*(L3*100))/100</f>
        <v>0.16449999999999998</v>
      </c>
      <c r="N3" s="40">
        <f>1-L3</f>
        <v>0.53</v>
      </c>
      <c r="O3" s="38">
        <f t="shared" ref="O3:O30" si="1">N3*K3</f>
        <v>1566006.9537386177</v>
      </c>
      <c r="P3" s="41">
        <f t="shared" ref="P3:P30" si="2">M3*K3</f>
        <v>486053.10167925013</v>
      </c>
      <c r="Q3" s="37">
        <v>7</v>
      </c>
      <c r="R3" s="42">
        <f>O3*Q3</f>
        <v>10962048.676170323</v>
      </c>
      <c r="S3" s="44">
        <f>P3*Q3</f>
        <v>3402371.7117547509</v>
      </c>
      <c r="T3" s="39">
        <v>0.18</v>
      </c>
      <c r="U3" s="43">
        <v>7.0000000000000007E-2</v>
      </c>
      <c r="V3" s="37">
        <v>15463.09363791891</v>
      </c>
      <c r="W3" s="78">
        <f t="shared" ref="W3:W30" si="3">(V3*B3)/1000000</f>
        <v>59005.619012934767</v>
      </c>
      <c r="X3" s="42">
        <f t="shared" ref="X3:X30" si="4">(V3*T3*O3)/1000000</f>
        <v>4358.7561893926304</v>
      </c>
      <c r="Y3" s="38">
        <f t="shared" ref="Y3:Y30" si="5">(V3*U3*P3)/1000000</f>
        <v>526.11192369870173</v>
      </c>
      <c r="Z3" s="44">
        <f>SUM(X3:Y3)</f>
        <v>4884.8681130913319</v>
      </c>
      <c r="AA3" s="45"/>
      <c r="AB3" s="68">
        <f>((X3/1000)*85984.522785899)/1000000</f>
        <v>0.37478557088500891</v>
      </c>
      <c r="AC3" s="67">
        <f>((Y3/1000)*85984.522785899)/1000000</f>
        <v>4.5237482691204173E-2</v>
      </c>
      <c r="AD3" s="47">
        <f>((Z3/1000)*85984.522785899)/1000000</f>
        <v>0.42002305357621306</v>
      </c>
      <c r="AE3" s="45"/>
      <c r="AF3" s="46">
        <v>0.18360000000000001</v>
      </c>
      <c r="AG3" s="67">
        <f t="shared" ref="AG3:AG30" si="6">((X3*1000000)*AF3)/1000000000</f>
        <v>0.8002676363724871</v>
      </c>
      <c r="AH3" s="67">
        <f t="shared" ref="AH3:AH30" si="7">((Y3*1000000)*AF3)/1000000000</f>
        <v>9.6594149191081641E-2</v>
      </c>
      <c r="AI3" s="47">
        <f t="shared" ref="AI3:AI30" si="8">((Z3*1000000)*AF3)/1000000000</f>
        <v>0.89686178556356844</v>
      </c>
      <c r="AJ3" s="48"/>
      <c r="AK3" s="23">
        <v>7.0999999999999994E-2</v>
      </c>
      <c r="AL3" s="67">
        <f t="shared" ref="AL3:AL30" si="9">((X3*1000000)*AK3)/1000000</f>
        <v>309.47168944687678</v>
      </c>
      <c r="AM3" s="67">
        <f t="shared" ref="AM3:AM30" si="10">((Y3*1000000)*AK3)/1000000</f>
        <v>37.353946582607819</v>
      </c>
      <c r="AN3" s="47">
        <f t="shared" ref="AN3:AN30" si="11">((Z3*1000000)*AK3)/1000000</f>
        <v>346.82563602948449</v>
      </c>
      <c r="AO3" s="45"/>
      <c r="AP3" s="55">
        <v>164.57800511508952</v>
      </c>
      <c r="AQ3" s="54">
        <v>210.29411764705881</v>
      </c>
      <c r="AR3" s="54">
        <v>256.0102301790281</v>
      </c>
      <c r="AS3" s="54">
        <v>283.43989769820973</v>
      </c>
      <c r="AT3" s="56">
        <v>256.0102301790281</v>
      </c>
      <c r="AU3" s="12"/>
      <c r="AV3" s="63">
        <v>0.05</v>
      </c>
      <c r="AW3" s="60">
        <v>0.05</v>
      </c>
      <c r="AX3" s="60">
        <v>0.7</v>
      </c>
      <c r="AY3" s="60">
        <f t="shared" ref="AY3:AY30" si="12">AV3*5</f>
        <v>0.25</v>
      </c>
      <c r="AZ3" s="61">
        <f>(AR3*AW3)+(AS3*AX3)+(AT3*AY3)</f>
        <v>275.21099744245521</v>
      </c>
      <c r="BA3" s="64">
        <f t="shared" ref="BA3:BA30" si="13">AZ3*O3</f>
        <v>430982335.74022579</v>
      </c>
      <c r="BB3" s="25"/>
      <c r="BC3" s="66">
        <v>0.8</v>
      </c>
      <c r="BD3" s="60">
        <v>0.05</v>
      </c>
      <c r="BE3" s="60">
        <v>0.05</v>
      </c>
      <c r="BF3" s="60">
        <v>0.05</v>
      </c>
      <c r="BG3" s="60">
        <v>0.05</v>
      </c>
      <c r="BH3" s="61">
        <f>(AP3*BC3)+(AQ3*BD3)+(AR3*BE3)+(AS3*BF3)+(AT3*BG3)</f>
        <v>181.95012787723789</v>
      </c>
      <c r="BI3" s="64">
        <f t="shared" ref="BI3:BI30" si="14">BH3*P3</f>
        <v>88437424.005667672</v>
      </c>
      <c r="BJ3" s="25"/>
      <c r="BK3" s="68">
        <f t="shared" ref="BK3:BK30" si="15">BA3/((X3*1000000)*AK3)</f>
        <v>1.3926389729235873</v>
      </c>
      <c r="BL3" s="67">
        <f t="shared" ref="BL3:BL30" si="16">BI3/((Y3*1000000)*AK3)</f>
        <v>2.367552349792259</v>
      </c>
      <c r="BM3" s="47">
        <f t="shared" ref="BM3:BM30" si="17">(BA3+BI3)/((Z3*1000000)*AK3)</f>
        <v>1.4976394642918966</v>
      </c>
      <c r="BN3" s="49"/>
      <c r="BO3" s="39">
        <f t="shared" ref="BO3:BO30" si="18">(X3*AK3*1000000*15)/BA3</f>
        <v>10.770917870056644</v>
      </c>
      <c r="BP3" s="40">
        <f t="shared" ref="BP3:BP30" si="19">(Y3*AK3*1000000*15)/BI3</f>
        <v>6.3356571614208121</v>
      </c>
      <c r="BQ3" s="71">
        <f>(AN3*1000000*15)/(BA3+BI3)</f>
        <v>10.015761708771606</v>
      </c>
    </row>
    <row r="4" spans="1:69" x14ac:dyDescent="0.45">
      <c r="A4" s="5" t="s">
        <v>2</v>
      </c>
      <c r="B4" s="37">
        <v>4699300</v>
      </c>
      <c r="C4" s="2"/>
      <c r="D4" s="51">
        <v>0.49414773999999995</v>
      </c>
      <c r="E4" s="51">
        <v>0</v>
      </c>
      <c r="F4" s="51">
        <v>0.40088736446116396</v>
      </c>
      <c r="G4" s="51"/>
      <c r="H4" s="51"/>
      <c r="I4" s="51"/>
      <c r="J4" s="2">
        <f t="shared" ref="J4:J30" si="20">D4+E4+F4+C4+G4+H4+I4</f>
        <v>0.89503510446116397</v>
      </c>
      <c r="K4" s="38">
        <f t="shared" si="0"/>
        <v>4206038.4663943481</v>
      </c>
      <c r="L4" s="39">
        <v>0.71</v>
      </c>
      <c r="M4" s="40">
        <f>(0.35*(L4*100))/100</f>
        <v>0.24849999999999997</v>
      </c>
      <c r="N4" s="40">
        <f t="shared" ref="N4:N30" si="21">1-L4</f>
        <v>0.29000000000000004</v>
      </c>
      <c r="O4" s="38">
        <f t="shared" si="1"/>
        <v>1219751.155254361</v>
      </c>
      <c r="P4" s="41">
        <f t="shared" si="2"/>
        <v>1045200.5588989954</v>
      </c>
      <c r="Q4" s="37">
        <v>7</v>
      </c>
      <c r="R4" s="42">
        <f t="shared" ref="R4:R30" si="22">O4*Q4</f>
        <v>8538258.0867805276</v>
      </c>
      <c r="S4" s="44">
        <f t="shared" ref="S4:S30" si="23">P4*Q4</f>
        <v>7316403.9122929676</v>
      </c>
      <c r="T4" s="39">
        <v>0.18</v>
      </c>
      <c r="U4" s="43">
        <v>7.0000000000000007E-2</v>
      </c>
      <c r="V4" s="37">
        <v>16637.821776953926</v>
      </c>
      <c r="W4" s="78">
        <f t="shared" si="3"/>
        <v>78186.115876439595</v>
      </c>
      <c r="X4" s="42">
        <f t="shared" si="4"/>
        <v>3652.920420004029</v>
      </c>
      <c r="Y4" s="38">
        <f t="shared" si="5"/>
        <v>1217.2902434093885</v>
      </c>
      <c r="Z4" s="44">
        <f t="shared" ref="Z4:Z30" si="24">SUM(X4:Y4)</f>
        <v>4870.2106634134179</v>
      </c>
      <c r="AA4" s="45"/>
      <c r="AB4" s="68">
        <f t="shared" ref="AB4:AB30" si="25">((X4/1000)*85984.522785899)/1000000</f>
        <v>0.31409461908891217</v>
      </c>
      <c r="AC4" s="67">
        <f t="shared" ref="AC4:AC30" si="26">((Y4/1000)*85984.522785899)/1000000</f>
        <v>0.10466812067148709</v>
      </c>
      <c r="AD4" s="47">
        <f t="shared" ref="AD4:AD30" si="27">((Z4/1000)*85984.522785899)/1000000</f>
        <v>0.41876273976039929</v>
      </c>
      <c r="AE4" s="45"/>
      <c r="AF4" s="46">
        <v>0.18360000000000001</v>
      </c>
      <c r="AG4" s="67">
        <f t="shared" si="6"/>
        <v>0.67067618911273963</v>
      </c>
      <c r="AH4" s="67">
        <f t="shared" si="7"/>
        <v>0.22349448868996377</v>
      </c>
      <c r="AI4" s="47">
        <f t="shared" si="8"/>
        <v>0.89417067780270365</v>
      </c>
      <c r="AJ4" s="48"/>
      <c r="AK4" s="23">
        <v>6.2E-2</v>
      </c>
      <c r="AL4" s="67">
        <f t="shared" si="9"/>
        <v>226.4810660402498</v>
      </c>
      <c r="AM4" s="67">
        <f t="shared" si="10"/>
        <v>75.471995091382084</v>
      </c>
      <c r="AN4" s="47">
        <f t="shared" si="11"/>
        <v>301.9530611316319</v>
      </c>
      <c r="AO4" s="45"/>
      <c r="AP4" s="55">
        <v>180</v>
      </c>
      <c r="AQ4" s="54">
        <v>230</v>
      </c>
      <c r="AR4" s="54">
        <v>280</v>
      </c>
      <c r="AS4" s="54">
        <v>310</v>
      </c>
      <c r="AT4" s="56">
        <v>280</v>
      </c>
      <c r="AU4" s="12"/>
      <c r="AV4" s="63">
        <v>0.05</v>
      </c>
      <c r="AW4" s="60">
        <v>0.7</v>
      </c>
      <c r="AX4" s="60">
        <v>0.05</v>
      </c>
      <c r="AY4" s="60">
        <f t="shared" si="12"/>
        <v>0.25</v>
      </c>
      <c r="AZ4" s="61">
        <f t="shared" ref="AZ4:AZ30" si="28">(AR4*AW4)+(AS4*AX4)+(AT4*AY4)</f>
        <v>281.5</v>
      </c>
      <c r="BA4" s="64">
        <f t="shared" si="13"/>
        <v>343359950.20410264</v>
      </c>
      <c r="BB4" s="25"/>
      <c r="BC4" s="66">
        <v>0.8</v>
      </c>
      <c r="BD4" s="60">
        <v>0.05</v>
      </c>
      <c r="BE4" s="60">
        <v>0.05</v>
      </c>
      <c r="BF4" s="60">
        <v>0.05</v>
      </c>
      <c r="BG4" s="60">
        <v>0.05</v>
      </c>
      <c r="BH4" s="61">
        <f t="shared" ref="BH4:BH30" si="29">(AP4*BC4)+(AQ4*BD4)+(AR4*BE4)+(AS4*BF4)+(AT4*BG4)</f>
        <v>199</v>
      </c>
      <c r="BI4" s="64">
        <f t="shared" si="14"/>
        <v>207994911.22090009</v>
      </c>
      <c r="BJ4" s="25"/>
      <c r="BK4" s="68">
        <f t="shared" si="15"/>
        <v>1.5160647033650103</v>
      </c>
      <c r="BL4" s="67">
        <f t="shared" si="16"/>
        <v>2.7559217292329188</v>
      </c>
      <c r="BM4" s="47">
        <f t="shared" si="17"/>
        <v>1.8259621523911223</v>
      </c>
      <c r="BN4" s="49"/>
      <c r="BO4" s="39">
        <f t="shared" si="18"/>
        <v>9.8940368222454254</v>
      </c>
      <c r="BP4" s="40">
        <f t="shared" si="19"/>
        <v>5.442825113968345</v>
      </c>
      <c r="BQ4" s="71">
        <f t="shared" ref="BQ4:BQ31" si="30">(AN4*1000000*15)/(BA4+BI4)</f>
        <v>8.2148471589935728</v>
      </c>
    </row>
    <row r="5" spans="1:69" x14ac:dyDescent="0.45">
      <c r="A5" s="5" t="s">
        <v>3</v>
      </c>
      <c r="B5" s="37">
        <v>2939800</v>
      </c>
      <c r="C5" s="2">
        <v>0.22530567385629893</v>
      </c>
      <c r="D5" s="51">
        <v>6.8000000000000005E-3</v>
      </c>
      <c r="E5" s="51">
        <v>0</v>
      </c>
      <c r="F5" s="51">
        <v>2.0607226267344418E-3</v>
      </c>
      <c r="G5" s="51">
        <v>0.1</v>
      </c>
      <c r="H5" s="51"/>
      <c r="I5" s="51">
        <f>0.5*0.15%</f>
        <v>7.5000000000000002E-4</v>
      </c>
      <c r="J5" s="2">
        <f t="shared" si="20"/>
        <v>0.33491639648303334</v>
      </c>
      <c r="K5" s="38">
        <f t="shared" si="0"/>
        <v>984587.22238082136</v>
      </c>
      <c r="L5" s="39">
        <v>0.65</v>
      </c>
      <c r="M5" s="40">
        <f t="shared" ref="M5:M30" si="31">(0.35*(L5*100))/100</f>
        <v>0.22750000000000001</v>
      </c>
      <c r="N5" s="40">
        <f t="shared" si="21"/>
        <v>0.35</v>
      </c>
      <c r="O5" s="38">
        <f t="shared" si="1"/>
        <v>344605.52783328743</v>
      </c>
      <c r="P5" s="41">
        <f t="shared" si="2"/>
        <v>223993.59309163687</v>
      </c>
      <c r="Q5" s="37">
        <v>7</v>
      </c>
      <c r="R5" s="42">
        <f t="shared" si="22"/>
        <v>2412238.6948330118</v>
      </c>
      <c r="S5" s="44">
        <f t="shared" si="23"/>
        <v>1567955.151641458</v>
      </c>
      <c r="T5" s="39">
        <v>0.18</v>
      </c>
      <c r="U5" s="43">
        <v>7.0000000000000007E-2</v>
      </c>
      <c r="V5" s="37">
        <v>5828.3823321321588</v>
      </c>
      <c r="W5" s="78">
        <f t="shared" si="3"/>
        <v>17134.278380002121</v>
      </c>
      <c r="X5" s="42">
        <f t="shared" si="4"/>
        <v>361.52869859614964</v>
      </c>
      <c r="Y5" s="38">
        <f t="shared" si="5"/>
        <v>91.386421034026753</v>
      </c>
      <c r="Z5" s="44">
        <f t="shared" si="24"/>
        <v>452.91511963017638</v>
      </c>
      <c r="AA5" s="45"/>
      <c r="AB5" s="68">
        <f t="shared" si="25"/>
        <v>3.1085872622197034E-2</v>
      </c>
      <c r="AC5" s="67">
        <f t="shared" si="26"/>
        <v>7.8578178017220321E-3</v>
      </c>
      <c r="AD5" s="47">
        <f t="shared" si="27"/>
        <v>3.894369042391907E-2</v>
      </c>
      <c r="AE5" s="45"/>
      <c r="AF5" s="46">
        <v>0.18360000000000001</v>
      </c>
      <c r="AG5" s="67">
        <f t="shared" si="6"/>
        <v>6.6376669062253077E-2</v>
      </c>
      <c r="AH5" s="67">
        <f t="shared" si="7"/>
        <v>1.6778546901847314E-2</v>
      </c>
      <c r="AI5" s="47">
        <f t="shared" si="8"/>
        <v>8.3155215964100387E-2</v>
      </c>
      <c r="AJ5" s="48"/>
      <c r="AK5" s="23">
        <v>3.9E-2</v>
      </c>
      <c r="AL5" s="67">
        <f t="shared" si="9"/>
        <v>14.099619245249835</v>
      </c>
      <c r="AM5" s="67">
        <f t="shared" si="10"/>
        <v>3.5640704203270435</v>
      </c>
      <c r="AN5" s="47">
        <f t="shared" si="11"/>
        <v>17.663689665576879</v>
      </c>
      <c r="AO5" s="45"/>
      <c r="AP5" s="55">
        <v>68.25</v>
      </c>
      <c r="AQ5" s="54">
        <v>159.25</v>
      </c>
      <c r="AR5" s="54">
        <v>182</v>
      </c>
      <c r="AS5" s="54">
        <v>209.29999999999998</v>
      </c>
      <c r="AT5" s="56">
        <v>136.5</v>
      </c>
      <c r="AU5" s="12"/>
      <c r="AV5" s="63">
        <v>0.05</v>
      </c>
      <c r="AW5" s="60">
        <v>0.7</v>
      </c>
      <c r="AX5" s="60">
        <v>0.05</v>
      </c>
      <c r="AY5" s="60">
        <f t="shared" si="12"/>
        <v>0.25</v>
      </c>
      <c r="AZ5" s="61">
        <f t="shared" si="28"/>
        <v>171.98999999999998</v>
      </c>
      <c r="BA5" s="64">
        <f t="shared" si="13"/>
        <v>59268704.732047096</v>
      </c>
      <c r="BB5" s="25"/>
      <c r="BC5" s="66">
        <v>0.8</v>
      </c>
      <c r="BD5" s="60">
        <v>0.05</v>
      </c>
      <c r="BE5" s="60">
        <v>0.05</v>
      </c>
      <c r="BF5" s="60">
        <v>0.05</v>
      </c>
      <c r="BG5" s="60">
        <v>0.05</v>
      </c>
      <c r="BH5" s="61">
        <f t="shared" si="29"/>
        <v>88.952500000000001</v>
      </c>
      <c r="BI5" s="64">
        <f t="shared" si="14"/>
        <v>19924790.089483827</v>
      </c>
      <c r="BJ5" s="25"/>
      <c r="BK5" s="68">
        <f t="shared" si="15"/>
        <v>4.203567748967032</v>
      </c>
      <c r="BL5" s="67">
        <f t="shared" si="16"/>
        <v>5.5904591491364259</v>
      </c>
      <c r="BM5" s="47">
        <f t="shared" si="17"/>
        <v>4.483406146783917</v>
      </c>
      <c r="BN5" s="49"/>
      <c r="BO5" s="39">
        <f t="shared" si="18"/>
        <v>3.5683973462033625</v>
      </c>
      <c r="BP5" s="40">
        <f t="shared" si="19"/>
        <v>2.6831427615953678</v>
      </c>
      <c r="BQ5" s="71">
        <f t="shared" si="30"/>
        <v>3.3456705703006531</v>
      </c>
    </row>
    <row r="6" spans="1:69" x14ac:dyDescent="0.45">
      <c r="A6" s="15" t="s">
        <v>32</v>
      </c>
      <c r="B6" s="37">
        <v>1494100</v>
      </c>
      <c r="C6" s="2">
        <v>0.1</v>
      </c>
      <c r="D6" s="51">
        <v>0.11</v>
      </c>
      <c r="E6" s="51">
        <v>0</v>
      </c>
      <c r="F6" s="51">
        <v>0.19</v>
      </c>
      <c r="G6" s="51"/>
      <c r="H6" s="51"/>
      <c r="I6" s="51"/>
      <c r="J6" s="2">
        <f t="shared" si="20"/>
        <v>0.4</v>
      </c>
      <c r="K6" s="38">
        <f t="shared" si="0"/>
        <v>597640</v>
      </c>
      <c r="L6" s="39">
        <v>0.47</v>
      </c>
      <c r="M6" s="40">
        <v>0.16</v>
      </c>
      <c r="N6" s="40">
        <f t="shared" si="21"/>
        <v>0.53</v>
      </c>
      <c r="O6" s="38">
        <f t="shared" si="1"/>
        <v>316749.2</v>
      </c>
      <c r="P6" s="41">
        <f t="shared" si="2"/>
        <v>95622.400000000009</v>
      </c>
      <c r="Q6" s="37">
        <v>7</v>
      </c>
      <c r="R6" s="42">
        <f t="shared" si="22"/>
        <v>2217244.4</v>
      </c>
      <c r="S6" s="44">
        <f t="shared" si="23"/>
        <v>669356.80000000005</v>
      </c>
      <c r="T6" s="39">
        <v>0.18</v>
      </c>
      <c r="U6" s="43">
        <v>7.0000000000000007E-2</v>
      </c>
      <c r="V6" s="37">
        <v>7988.3949591057908</v>
      </c>
      <c r="W6" s="78">
        <f t="shared" si="3"/>
        <v>11935.460908399962</v>
      </c>
      <c r="X6" s="42">
        <f t="shared" si="4"/>
        <v>455.45718826454254</v>
      </c>
      <c r="Y6" s="38">
        <f t="shared" si="5"/>
        <v>53.470864869631839</v>
      </c>
      <c r="Z6" s="44">
        <f t="shared" si="24"/>
        <v>508.92805313417438</v>
      </c>
      <c r="AA6" s="45"/>
      <c r="AB6" s="68">
        <f t="shared" si="25"/>
        <v>3.9162268982334048E-2</v>
      </c>
      <c r="AC6" s="67">
        <f t="shared" si="26"/>
        <v>4.5976667987645851E-3</v>
      </c>
      <c r="AD6" s="47">
        <f t="shared" si="27"/>
        <v>4.3759935781098623E-2</v>
      </c>
      <c r="AE6" s="45"/>
      <c r="AF6" s="46">
        <v>0.18360000000000001</v>
      </c>
      <c r="AG6" s="67">
        <f t="shared" si="6"/>
        <v>8.362193976537001E-2</v>
      </c>
      <c r="AH6" s="67">
        <f t="shared" si="7"/>
        <v>9.8172507900644076E-3</v>
      </c>
      <c r="AI6" s="47">
        <f t="shared" si="8"/>
        <v>9.3439190555434426E-2</v>
      </c>
      <c r="AJ6" s="48"/>
      <c r="AK6" s="23">
        <v>4.5999999999999999E-2</v>
      </c>
      <c r="AL6" s="67">
        <f t="shared" si="9"/>
        <v>20.951030660168957</v>
      </c>
      <c r="AM6" s="67">
        <f t="shared" si="10"/>
        <v>2.4596597840030645</v>
      </c>
      <c r="AN6" s="47">
        <f t="shared" si="11"/>
        <v>23.410690444172022</v>
      </c>
      <c r="AO6" s="45"/>
      <c r="AP6" s="55">
        <v>60.676245070693469</v>
      </c>
      <c r="AQ6" s="54">
        <v>93.485398760131872</v>
      </c>
      <c r="AR6" s="54">
        <v>140.87188612099644</v>
      </c>
      <c r="AS6" s="54">
        <v>157.64234875444839</v>
      </c>
      <c r="AT6" s="56">
        <v>140.87188612099644</v>
      </c>
      <c r="AU6" s="12"/>
      <c r="AV6" s="63">
        <v>0.05</v>
      </c>
      <c r="AW6" s="60">
        <v>0.7</v>
      </c>
      <c r="AX6" s="60">
        <v>0.05</v>
      </c>
      <c r="AY6" s="60">
        <f t="shared" si="12"/>
        <v>0.25</v>
      </c>
      <c r="AZ6" s="61">
        <f t="shared" si="28"/>
        <v>141.71040925266902</v>
      </c>
      <c r="BA6" s="64">
        <f t="shared" si="13"/>
        <v>44886658.762455516</v>
      </c>
      <c r="BB6" s="25"/>
      <c r="BC6" s="66">
        <v>0.8</v>
      </c>
      <c r="BD6" s="60">
        <v>0.05</v>
      </c>
      <c r="BE6" s="60">
        <v>0.05</v>
      </c>
      <c r="BF6" s="60">
        <v>0.05</v>
      </c>
      <c r="BG6" s="60">
        <v>0.05</v>
      </c>
      <c r="BH6" s="61">
        <f t="shared" si="29"/>
        <v>75.18457204438343</v>
      </c>
      <c r="BI6" s="64">
        <f t="shared" si="14"/>
        <v>7189329.2218568511</v>
      </c>
      <c r="BJ6" s="25"/>
      <c r="BK6" s="68">
        <f t="shared" si="15"/>
        <v>2.142455876778977</v>
      </c>
      <c r="BL6" s="67">
        <f t="shared" si="16"/>
        <v>2.922895787707807</v>
      </c>
      <c r="BM6" s="47">
        <f t="shared" si="17"/>
        <v>2.224453315825909</v>
      </c>
      <c r="BN6" s="49"/>
      <c r="BO6" s="39">
        <f t="shared" si="18"/>
        <v>7.0013110480255882</v>
      </c>
      <c r="BP6" s="40">
        <f t="shared" si="19"/>
        <v>5.1318969574906736</v>
      </c>
      <c r="BQ6" s="71">
        <f t="shared" si="30"/>
        <v>6.7432298503557071</v>
      </c>
    </row>
    <row r="7" spans="1:69" x14ac:dyDescent="0.45">
      <c r="A7" s="5" t="s">
        <v>4</v>
      </c>
      <c r="B7" s="37">
        <v>290000</v>
      </c>
      <c r="C7" s="2">
        <v>0</v>
      </c>
      <c r="D7" s="51">
        <v>0</v>
      </c>
      <c r="E7" s="51">
        <v>0</v>
      </c>
      <c r="F7" s="51">
        <v>0.29299999999999998</v>
      </c>
      <c r="G7" s="51"/>
      <c r="H7" s="51"/>
      <c r="I7" s="51"/>
      <c r="J7" s="2">
        <f t="shared" si="20"/>
        <v>0.29299999999999998</v>
      </c>
      <c r="K7" s="38">
        <f t="shared" si="0"/>
        <v>84970</v>
      </c>
      <c r="L7" s="39">
        <v>0.15</v>
      </c>
      <c r="M7" s="40">
        <v>0.05</v>
      </c>
      <c r="N7" s="40">
        <f t="shared" si="21"/>
        <v>0.85</v>
      </c>
      <c r="O7" s="38">
        <f t="shared" si="1"/>
        <v>72224.5</v>
      </c>
      <c r="P7" s="41">
        <f t="shared" si="2"/>
        <v>4248.5</v>
      </c>
      <c r="Q7" s="37">
        <v>7</v>
      </c>
      <c r="R7" s="42">
        <f t="shared" si="22"/>
        <v>505571.5</v>
      </c>
      <c r="S7" s="44">
        <f t="shared" si="23"/>
        <v>29739.5</v>
      </c>
      <c r="T7" s="39">
        <v>0.18</v>
      </c>
      <c r="U7" s="43">
        <v>7.0000000000000007E-2</v>
      </c>
      <c r="V7" s="37">
        <v>4565.0946094345381</v>
      </c>
      <c r="W7" s="78">
        <f t="shared" si="3"/>
        <v>1323.8774367360161</v>
      </c>
      <c r="X7" s="42">
        <f t="shared" si="4"/>
        <v>59.348101611438864</v>
      </c>
      <c r="Y7" s="38">
        <f t="shared" si="5"/>
        <v>1.3576363113727847</v>
      </c>
      <c r="Z7" s="44">
        <f t="shared" si="24"/>
        <v>60.70573792281165</v>
      </c>
      <c r="AA7" s="45"/>
      <c r="AB7" s="68">
        <f t="shared" si="25"/>
        <v>5.1030181953086139E-3</v>
      </c>
      <c r="AC7" s="67">
        <f t="shared" si="26"/>
        <v>1.1673571035019707E-4</v>
      </c>
      <c r="AD7" s="47">
        <f t="shared" si="27"/>
        <v>5.2197539056588116E-3</v>
      </c>
      <c r="AE7" s="45"/>
      <c r="AF7" s="46">
        <v>0.18360000000000001</v>
      </c>
      <c r="AG7" s="67">
        <f t="shared" si="6"/>
        <v>1.0896311455860175E-2</v>
      </c>
      <c r="AH7" s="67">
        <f t="shared" si="7"/>
        <v>2.4926202676804328E-4</v>
      </c>
      <c r="AI7" s="47">
        <f t="shared" si="8"/>
        <v>1.1145573482628219E-2</v>
      </c>
      <c r="AJ7" s="48"/>
      <c r="AK7" s="23">
        <v>7.4999999999999997E-2</v>
      </c>
      <c r="AL7" s="67">
        <f t="shared" si="9"/>
        <v>4.4511076208579148</v>
      </c>
      <c r="AM7" s="67">
        <f t="shared" si="10"/>
        <v>0.10182272335295885</v>
      </c>
      <c r="AN7" s="47">
        <f t="shared" si="11"/>
        <v>4.5529303442108731</v>
      </c>
      <c r="AO7" s="45"/>
      <c r="AP7" s="55">
        <v>70.332941898920538</v>
      </c>
      <c r="AQ7" s="54">
        <v>108.36371156015285</v>
      </c>
      <c r="AR7" s="54">
        <v>163.29181494661921</v>
      </c>
      <c r="AS7" s="54">
        <v>182.73131672597864</v>
      </c>
      <c r="AT7" s="56">
        <v>163.29181494661921</v>
      </c>
      <c r="AU7" s="12"/>
      <c r="AV7" s="63">
        <v>0.05</v>
      </c>
      <c r="AW7" s="60">
        <v>0.7</v>
      </c>
      <c r="AX7" s="60">
        <v>0.05</v>
      </c>
      <c r="AY7" s="60">
        <f t="shared" si="12"/>
        <v>0.25</v>
      </c>
      <c r="AZ7" s="61">
        <f t="shared" si="28"/>
        <v>164.26379003558716</v>
      </c>
      <c r="BA7" s="64">
        <f t="shared" si="13"/>
        <v>11863870.103425264</v>
      </c>
      <c r="BB7" s="25"/>
      <c r="BC7" s="66">
        <v>0.8</v>
      </c>
      <c r="BD7" s="60">
        <v>0.05</v>
      </c>
      <c r="BE7" s="60">
        <v>0.05</v>
      </c>
      <c r="BF7" s="60">
        <v>0.05</v>
      </c>
      <c r="BG7" s="60">
        <v>0.05</v>
      </c>
      <c r="BH7" s="61">
        <f t="shared" si="29"/>
        <v>87.15028642810492</v>
      </c>
      <c r="BI7" s="64">
        <f t="shared" si="14"/>
        <v>370257.99188980373</v>
      </c>
      <c r="BJ7" s="25"/>
      <c r="BK7" s="68">
        <f t="shared" si="15"/>
        <v>2.6653748042017908</v>
      </c>
      <c r="BL7" s="67">
        <f t="shared" si="16"/>
        <v>3.6363002255040793</v>
      </c>
      <c r="BM7" s="47">
        <f t="shared" si="17"/>
        <v>2.6870887912596699</v>
      </c>
      <c r="BN7" s="49"/>
      <c r="BO7" s="39">
        <f t="shared" si="18"/>
        <v>5.6277263431594946</v>
      </c>
      <c r="BP7" s="40">
        <f t="shared" si="19"/>
        <v>4.1250719329481758</v>
      </c>
      <c r="BQ7" s="71">
        <f t="shared" si="30"/>
        <v>5.5822494771258402</v>
      </c>
    </row>
    <row r="8" spans="1:69" x14ac:dyDescent="0.45">
      <c r="A8" s="5" t="s">
        <v>5</v>
      </c>
      <c r="B8" s="37">
        <v>4644200</v>
      </c>
      <c r="C8" s="2">
        <v>0.28512500871404645</v>
      </c>
      <c r="D8" s="51">
        <v>0.27060355999999997</v>
      </c>
      <c r="E8" s="51">
        <v>0.11597295000000001</v>
      </c>
      <c r="F8" s="51">
        <v>3.259567829573571E-3</v>
      </c>
      <c r="G8" s="51">
        <v>0.1</v>
      </c>
      <c r="H8" s="51">
        <f>11000/B8</f>
        <v>2.3685457129322598E-3</v>
      </c>
      <c r="I8" s="51">
        <f>0.5*1.88%</f>
        <v>9.3999999999999986E-3</v>
      </c>
      <c r="J8" s="2">
        <f t="shared" si="20"/>
        <v>0.78672963225655212</v>
      </c>
      <c r="K8" s="38">
        <f t="shared" si="0"/>
        <v>3653729.7581258793</v>
      </c>
      <c r="L8" s="39">
        <v>0.65</v>
      </c>
      <c r="M8" s="40">
        <f t="shared" si="31"/>
        <v>0.22750000000000001</v>
      </c>
      <c r="N8" s="40">
        <f t="shared" si="21"/>
        <v>0.35</v>
      </c>
      <c r="O8" s="38">
        <f t="shared" si="1"/>
        <v>1278805.4153440576</v>
      </c>
      <c r="P8" s="41">
        <f t="shared" si="2"/>
        <v>831223.51997363754</v>
      </c>
      <c r="Q8" s="37">
        <v>7</v>
      </c>
      <c r="R8" s="42">
        <f t="shared" si="22"/>
        <v>8951637.9074084032</v>
      </c>
      <c r="S8" s="44">
        <f t="shared" si="23"/>
        <v>5818564.6398154628</v>
      </c>
      <c r="T8" s="39">
        <v>0.18</v>
      </c>
      <c r="U8" s="43">
        <v>7.0000000000000007E-2</v>
      </c>
      <c r="V8" s="37">
        <v>12494.925497568507</v>
      </c>
      <c r="W8" s="78">
        <f t="shared" si="3"/>
        <v>58028.932995807663</v>
      </c>
      <c r="X8" s="42">
        <f t="shared" si="4"/>
        <v>2876.1441103100065</v>
      </c>
      <c r="Y8" s="38">
        <f t="shared" si="5"/>
        <v>727.02531677280751</v>
      </c>
      <c r="Z8" s="44">
        <f t="shared" si="24"/>
        <v>3603.1694270828139</v>
      </c>
      <c r="AA8" s="45"/>
      <c r="AB8" s="68">
        <f t="shared" si="25"/>
        <v>0.24730387878847995</v>
      </c>
      <c r="AC8" s="67">
        <f t="shared" si="26"/>
        <v>6.2512924915976903E-2</v>
      </c>
      <c r="AD8" s="47">
        <f t="shared" si="27"/>
        <v>0.30981680370445686</v>
      </c>
      <c r="AE8" s="45"/>
      <c r="AF8" s="46">
        <v>0.18360000000000001</v>
      </c>
      <c r="AG8" s="67">
        <f t="shared" si="6"/>
        <v>0.52806005865291727</v>
      </c>
      <c r="AH8" s="67">
        <f t="shared" si="7"/>
        <v>0.13348184815948747</v>
      </c>
      <c r="AI8" s="47">
        <f t="shared" si="8"/>
        <v>0.66154190681240466</v>
      </c>
      <c r="AJ8" s="48"/>
      <c r="AK8" s="23">
        <v>5.8000000000000003E-2</v>
      </c>
      <c r="AL8" s="67">
        <f t="shared" si="9"/>
        <v>166.81635839798039</v>
      </c>
      <c r="AM8" s="67">
        <f t="shared" si="10"/>
        <v>42.167468372822839</v>
      </c>
      <c r="AN8" s="47">
        <f t="shared" si="11"/>
        <v>208.9838267708032</v>
      </c>
      <c r="AO8" s="45"/>
      <c r="AP8" s="55">
        <v>118.31395348837211</v>
      </c>
      <c r="AQ8" s="54">
        <v>215.11627906976747</v>
      </c>
      <c r="AR8" s="54">
        <v>215.11627906976747</v>
      </c>
      <c r="AS8" s="54">
        <v>247.38372093023258</v>
      </c>
      <c r="AT8" s="56">
        <v>215.11627906976747</v>
      </c>
      <c r="AU8" s="12"/>
      <c r="AV8" s="63">
        <v>0.05</v>
      </c>
      <c r="AW8" s="60">
        <v>0.7</v>
      </c>
      <c r="AX8" s="60">
        <v>0.05</v>
      </c>
      <c r="AY8" s="60">
        <f t="shared" si="12"/>
        <v>0.25</v>
      </c>
      <c r="AZ8" s="61">
        <f t="shared" si="28"/>
        <v>216.72965116279073</v>
      </c>
      <c r="BA8" s="64">
        <f t="shared" si="13"/>
        <v>277155051.57260531</v>
      </c>
      <c r="BB8" s="25"/>
      <c r="BC8" s="66">
        <v>0.8</v>
      </c>
      <c r="BD8" s="60">
        <v>0.05</v>
      </c>
      <c r="BE8" s="60">
        <v>0.05</v>
      </c>
      <c r="BF8" s="60">
        <v>0.05</v>
      </c>
      <c r="BG8" s="60">
        <v>0.05</v>
      </c>
      <c r="BH8" s="61">
        <f t="shared" si="29"/>
        <v>139.28779069767444</v>
      </c>
      <c r="BI8" s="64">
        <f t="shared" si="14"/>
        <v>115779287.67307223</v>
      </c>
      <c r="BJ8" s="25"/>
      <c r="BK8" s="68">
        <f t="shared" si="15"/>
        <v>1.6614380881722974</v>
      </c>
      <c r="BL8" s="67">
        <f t="shared" si="16"/>
        <v>2.745701654398883</v>
      </c>
      <c r="BM8" s="47">
        <f t="shared" si="17"/>
        <v>1.8802141070783269</v>
      </c>
      <c r="BN8" s="49"/>
      <c r="BO8" s="39">
        <f t="shared" si="18"/>
        <v>9.0283231778447366</v>
      </c>
      <c r="BP8" s="40">
        <f t="shared" si="19"/>
        <v>5.4630844454525969</v>
      </c>
      <c r="BQ8" s="71">
        <f t="shared" si="30"/>
        <v>7.9778148369009765</v>
      </c>
    </row>
    <row r="9" spans="1:69" x14ac:dyDescent="0.45">
      <c r="A9" s="5" t="s">
        <v>6</v>
      </c>
      <c r="B9" s="37">
        <v>2373100</v>
      </c>
      <c r="C9" s="2">
        <v>0.57556705035434541</v>
      </c>
      <c r="D9" s="51">
        <v>8.4801169999999995E-2</v>
      </c>
      <c r="E9" s="51">
        <v>0.08</v>
      </c>
      <c r="F9" s="51">
        <v>0.15329540880268555</v>
      </c>
      <c r="G9" s="51"/>
      <c r="H9" s="51"/>
      <c r="I9" s="51">
        <f>0.5*0.97%</f>
        <v>4.8500000000000001E-3</v>
      </c>
      <c r="J9" s="2">
        <f t="shared" si="20"/>
        <v>0.89851362915703104</v>
      </c>
      <c r="K9" s="38">
        <f t="shared" si="0"/>
        <v>2132262.6933525503</v>
      </c>
      <c r="L9" s="39">
        <v>0.95</v>
      </c>
      <c r="M9" s="40">
        <f t="shared" si="31"/>
        <v>0.33250000000000002</v>
      </c>
      <c r="N9" s="40">
        <f t="shared" si="21"/>
        <v>5.0000000000000044E-2</v>
      </c>
      <c r="O9" s="38">
        <f t="shared" si="1"/>
        <v>106613.13466762762</v>
      </c>
      <c r="P9" s="41">
        <f t="shared" si="2"/>
        <v>708977.34553972306</v>
      </c>
      <c r="Q9" s="37">
        <v>7</v>
      </c>
      <c r="R9" s="42">
        <f t="shared" si="22"/>
        <v>746291.94267339329</v>
      </c>
      <c r="S9" s="44">
        <f t="shared" si="23"/>
        <v>4962841.4187780619</v>
      </c>
      <c r="T9" s="39">
        <v>0.18</v>
      </c>
      <c r="U9" s="43">
        <v>7.0000000000000007E-2</v>
      </c>
      <c r="V9" s="37">
        <v>13330.24969624774</v>
      </c>
      <c r="W9" s="78">
        <f t="shared" si="3"/>
        <v>31634.015554165511</v>
      </c>
      <c r="X9" s="42">
        <f t="shared" si="4"/>
        <v>255.81234708344923</v>
      </c>
      <c r="Y9" s="38">
        <f t="shared" si="5"/>
        <v>661.55915315191965</v>
      </c>
      <c r="Z9" s="44">
        <f t="shared" si="24"/>
        <v>917.3715002353689</v>
      </c>
      <c r="AA9" s="45"/>
      <c r="AB9" s="68">
        <f t="shared" si="25"/>
        <v>2.1995902586711146E-2</v>
      </c>
      <c r="AC9" s="67">
        <f t="shared" si="26"/>
        <v>5.6883848078411278E-2</v>
      </c>
      <c r="AD9" s="47">
        <f t="shared" si="27"/>
        <v>7.8879750665122428E-2</v>
      </c>
      <c r="AE9" s="45"/>
      <c r="AF9" s="46">
        <v>0.18360000000000001</v>
      </c>
      <c r="AG9" s="67">
        <f t="shared" si="6"/>
        <v>4.696714692452128E-2</v>
      </c>
      <c r="AH9" s="67">
        <f t="shared" si="7"/>
        <v>0.12146226051869245</v>
      </c>
      <c r="AI9" s="47">
        <f t="shared" si="8"/>
        <v>0.16842940744321372</v>
      </c>
      <c r="AJ9" s="48"/>
      <c r="AK9" s="23">
        <v>7.5999999999999998E-2</v>
      </c>
      <c r="AL9" s="67">
        <f t="shared" si="9"/>
        <v>19.441738378342141</v>
      </c>
      <c r="AM9" s="67">
        <f t="shared" si="10"/>
        <v>50.278495639545888</v>
      </c>
      <c r="AN9" s="47">
        <f t="shared" si="11"/>
        <v>69.720234017888018</v>
      </c>
      <c r="AO9" s="45"/>
      <c r="AP9" s="55">
        <v>156.86098654708519</v>
      </c>
      <c r="AQ9" s="54">
        <v>299.46188340807174</v>
      </c>
      <c r="AR9" s="54">
        <v>484.84304932735427</v>
      </c>
      <c r="AS9" s="54">
        <v>578.95964125560533</v>
      </c>
      <c r="AT9" s="56">
        <v>412.11659192825107</v>
      </c>
      <c r="AU9" s="12"/>
      <c r="AV9" s="63">
        <v>0.05</v>
      </c>
      <c r="AW9" s="60">
        <v>0.05</v>
      </c>
      <c r="AX9" s="60">
        <v>0.7</v>
      </c>
      <c r="AY9" s="60">
        <f t="shared" si="12"/>
        <v>0.25</v>
      </c>
      <c r="AZ9" s="61">
        <f t="shared" si="28"/>
        <v>532.5430493273542</v>
      </c>
      <c r="BA9" s="64">
        <f t="shared" si="13"/>
        <v>56776083.83424627</v>
      </c>
      <c r="BB9" s="25"/>
      <c r="BC9" s="66">
        <v>0.8</v>
      </c>
      <c r="BD9" s="60">
        <v>0.05</v>
      </c>
      <c r="BE9" s="60">
        <v>0.05</v>
      </c>
      <c r="BF9" s="60">
        <v>0.05</v>
      </c>
      <c r="BG9" s="60">
        <v>0.05</v>
      </c>
      <c r="BH9" s="61">
        <f t="shared" si="29"/>
        <v>214.25784753363229</v>
      </c>
      <c r="BI9" s="64">
        <f t="shared" si="14"/>
        <v>151903960.00544932</v>
      </c>
      <c r="BJ9" s="25"/>
      <c r="BK9" s="68">
        <f t="shared" si="15"/>
        <v>2.9203193011533441</v>
      </c>
      <c r="BL9" s="67">
        <f t="shared" si="16"/>
        <v>3.0212510949904252</v>
      </c>
      <c r="BM9" s="47">
        <f t="shared" si="17"/>
        <v>2.9931059007368628</v>
      </c>
      <c r="BN9" s="49"/>
      <c r="BO9" s="39">
        <f t="shared" si="18"/>
        <v>5.1364246348253539</v>
      </c>
      <c r="BP9" s="40">
        <f t="shared" si="19"/>
        <v>4.9648306375036793</v>
      </c>
      <c r="BQ9" s="71">
        <f t="shared" si="30"/>
        <v>5.011516631037745</v>
      </c>
    </row>
    <row r="10" spans="1:69" x14ac:dyDescent="0.45">
      <c r="A10" s="5" t="s">
        <v>7</v>
      </c>
      <c r="B10" s="37">
        <v>571600</v>
      </c>
      <c r="C10" s="2">
        <v>0.34653465346534656</v>
      </c>
      <c r="D10" s="51">
        <v>0.06</v>
      </c>
      <c r="E10" s="51">
        <v>0</v>
      </c>
      <c r="F10" s="51">
        <v>9.9009900990099011E-3</v>
      </c>
      <c r="G10" s="51"/>
      <c r="H10" s="51">
        <f>3000/B10</f>
        <v>5.2484254723582924E-3</v>
      </c>
      <c r="I10" s="51"/>
      <c r="J10" s="2">
        <f t="shared" si="20"/>
        <v>0.42168406903671474</v>
      </c>
      <c r="K10" s="38">
        <f t="shared" si="0"/>
        <v>241034.61386138614</v>
      </c>
      <c r="L10" s="39">
        <v>0.47</v>
      </c>
      <c r="M10" s="40">
        <v>0.16</v>
      </c>
      <c r="N10" s="40">
        <f t="shared" si="21"/>
        <v>0.53</v>
      </c>
      <c r="O10" s="38">
        <f t="shared" si="1"/>
        <v>127748.34534653465</v>
      </c>
      <c r="P10" s="41">
        <f t="shared" si="2"/>
        <v>38565.538217821784</v>
      </c>
      <c r="Q10" s="37">
        <v>7</v>
      </c>
      <c r="R10" s="42">
        <f t="shared" si="22"/>
        <v>894238.41742574261</v>
      </c>
      <c r="S10" s="44">
        <f t="shared" si="23"/>
        <v>269958.76752475247</v>
      </c>
      <c r="T10" s="39">
        <v>0.18</v>
      </c>
      <c r="U10" s="43">
        <v>7.0000000000000007E-2</v>
      </c>
      <c r="V10" s="37">
        <v>11387.475970963484</v>
      </c>
      <c r="W10" s="78">
        <f t="shared" si="3"/>
        <v>6509.0812650027274</v>
      </c>
      <c r="X10" s="42">
        <f t="shared" si="4"/>
        <v>261.8516183335214</v>
      </c>
      <c r="Y10" s="38">
        <f t="shared" si="5"/>
        <v>30.74148978339036</v>
      </c>
      <c r="Z10" s="44">
        <f t="shared" si="24"/>
        <v>292.59310811691176</v>
      </c>
      <c r="AA10" s="45"/>
      <c r="AB10" s="68">
        <f t="shared" si="25"/>
        <v>2.2515186443123194E-2</v>
      </c>
      <c r="AC10" s="67">
        <f t="shared" si="26"/>
        <v>2.6432923287524096E-3</v>
      </c>
      <c r="AD10" s="47">
        <f t="shared" si="27"/>
        <v>2.5158478771875607E-2</v>
      </c>
      <c r="AE10" s="45"/>
      <c r="AF10" s="46">
        <v>0.18360000000000001</v>
      </c>
      <c r="AG10" s="67">
        <f t="shared" si="6"/>
        <v>4.8075957126034533E-2</v>
      </c>
      <c r="AH10" s="67">
        <f t="shared" si="7"/>
        <v>5.6441375242304711E-3</v>
      </c>
      <c r="AI10" s="47">
        <f t="shared" si="8"/>
        <v>5.3720094650265011E-2</v>
      </c>
      <c r="AJ10" s="48"/>
      <c r="AK10" s="23">
        <v>3.7999999999999999E-2</v>
      </c>
      <c r="AL10" s="67">
        <f t="shared" si="9"/>
        <v>9.9503614966738123</v>
      </c>
      <c r="AM10" s="67">
        <f t="shared" si="10"/>
        <v>1.1681766117688339</v>
      </c>
      <c r="AN10" s="47">
        <f t="shared" si="11"/>
        <v>11.118538108442648</v>
      </c>
      <c r="AO10" s="45"/>
      <c r="AP10" s="55">
        <v>98.149022869022872</v>
      </c>
      <c r="AQ10" s="54">
        <v>151.22063882063884</v>
      </c>
      <c r="AR10" s="54">
        <v>203.21808353808353</v>
      </c>
      <c r="AS10" s="54">
        <v>255</v>
      </c>
      <c r="AT10" s="56">
        <v>185.49155925155927</v>
      </c>
      <c r="AU10" s="12"/>
      <c r="AV10" s="63">
        <v>0.05</v>
      </c>
      <c r="AW10" s="60">
        <v>0.7</v>
      </c>
      <c r="AX10" s="60">
        <v>0.05</v>
      </c>
      <c r="AY10" s="60">
        <f t="shared" si="12"/>
        <v>0.25</v>
      </c>
      <c r="AZ10" s="61">
        <f t="shared" si="28"/>
        <v>201.37554828954828</v>
      </c>
      <c r="BA10" s="64">
        <f t="shared" si="13"/>
        <v>25725393.087240979</v>
      </c>
      <c r="BB10" s="25"/>
      <c r="BC10" s="66">
        <v>0.8</v>
      </c>
      <c r="BD10" s="60">
        <v>0.05</v>
      </c>
      <c r="BE10" s="60">
        <v>0.05</v>
      </c>
      <c r="BF10" s="60">
        <v>0.05</v>
      </c>
      <c r="BG10" s="60">
        <v>0.05</v>
      </c>
      <c r="BH10" s="61">
        <f t="shared" si="29"/>
        <v>118.2657323757324</v>
      </c>
      <c r="BI10" s="64">
        <f t="shared" si="14"/>
        <v>4560981.6217949912</v>
      </c>
      <c r="BJ10" s="25"/>
      <c r="BK10" s="68">
        <f t="shared" si="15"/>
        <v>2.585372711920106</v>
      </c>
      <c r="BL10" s="67">
        <f t="shared" si="16"/>
        <v>3.904359645489587</v>
      </c>
      <c r="BM10" s="47">
        <f t="shared" si="17"/>
        <v>2.7239529525953232</v>
      </c>
      <c r="BN10" s="49"/>
      <c r="BO10" s="39">
        <f t="shared" si="18"/>
        <v>5.8018714016903941</v>
      </c>
      <c r="BP10" s="40">
        <f t="shared" si="19"/>
        <v>3.841859193818983</v>
      </c>
      <c r="BQ10" s="71">
        <f t="shared" si="30"/>
        <v>5.5067030382108202</v>
      </c>
    </row>
    <row r="11" spans="1:69" x14ac:dyDescent="0.45">
      <c r="A11" s="5" t="s">
        <v>8</v>
      </c>
      <c r="B11" s="37">
        <v>2622500</v>
      </c>
      <c r="C11" s="2">
        <v>0.39002189043117252</v>
      </c>
      <c r="D11" s="51">
        <v>0</v>
      </c>
      <c r="E11" s="51">
        <v>0</v>
      </c>
      <c r="F11" s="51">
        <v>0.20201490026010407</v>
      </c>
      <c r="G11" s="51">
        <v>4.9000000000000002E-2</v>
      </c>
      <c r="H11" s="51">
        <f>6000/B11</f>
        <v>2.2878932316491899E-3</v>
      </c>
      <c r="I11" s="51"/>
      <c r="J11" s="2">
        <f t="shared" si="20"/>
        <v>0.64332468392292586</v>
      </c>
      <c r="K11" s="38">
        <f t="shared" si="0"/>
        <v>1687118.9835878732</v>
      </c>
      <c r="L11" s="39">
        <v>0.9</v>
      </c>
      <c r="M11" s="40">
        <f t="shared" si="31"/>
        <v>0.31499999999999995</v>
      </c>
      <c r="N11" s="40">
        <f t="shared" si="21"/>
        <v>9.9999999999999978E-2</v>
      </c>
      <c r="O11" s="38">
        <f t="shared" si="1"/>
        <v>168711.89835878729</v>
      </c>
      <c r="P11" s="41">
        <f t="shared" si="2"/>
        <v>531442.47983017995</v>
      </c>
      <c r="Q11" s="37">
        <v>7</v>
      </c>
      <c r="R11" s="42">
        <f t="shared" si="22"/>
        <v>1180983.2885115109</v>
      </c>
      <c r="S11" s="44">
        <f t="shared" si="23"/>
        <v>3720097.3588112597</v>
      </c>
      <c r="T11" s="39">
        <v>0.18</v>
      </c>
      <c r="U11" s="43">
        <v>7.0000000000000007E-2</v>
      </c>
      <c r="V11" s="37">
        <v>16941.85343713755</v>
      </c>
      <c r="W11" s="78">
        <f t="shared" si="3"/>
        <v>44430.010638893225</v>
      </c>
      <c r="X11" s="42">
        <f t="shared" si="4"/>
        <v>514.49260591724783</v>
      </c>
      <c r="Y11" s="38">
        <f t="shared" si="5"/>
        <v>630.25344224862863</v>
      </c>
      <c r="Z11" s="44">
        <f t="shared" si="24"/>
        <v>1144.7460481658763</v>
      </c>
      <c r="AA11" s="45"/>
      <c r="AB11" s="68">
        <f t="shared" si="25"/>
        <v>4.4238401196668151E-2</v>
      </c>
      <c r="AC11" s="67">
        <f t="shared" si="26"/>
        <v>5.4192041465918488E-2</v>
      </c>
      <c r="AD11" s="47">
        <f t="shared" si="27"/>
        <v>9.8430442662586631E-2</v>
      </c>
      <c r="AE11" s="45"/>
      <c r="AF11" s="46">
        <v>0.18360000000000001</v>
      </c>
      <c r="AG11" s="67">
        <f t="shared" si="6"/>
        <v>9.4460842446406706E-2</v>
      </c>
      <c r="AH11" s="67">
        <f t="shared" si="7"/>
        <v>0.11571453199684822</v>
      </c>
      <c r="AI11" s="47">
        <f t="shared" si="8"/>
        <v>0.21017537444325493</v>
      </c>
      <c r="AJ11" s="48"/>
      <c r="AK11" s="23">
        <v>0.11700000000000001</v>
      </c>
      <c r="AL11" s="67">
        <f t="shared" si="9"/>
        <v>60.195634892318004</v>
      </c>
      <c r="AM11" s="67">
        <f t="shared" si="10"/>
        <v>73.73965274308955</v>
      </c>
      <c r="AN11" s="47">
        <f t="shared" si="11"/>
        <v>133.93528763540755</v>
      </c>
      <c r="AO11" s="45"/>
      <c r="AP11" s="55">
        <v>136.39013452914799</v>
      </c>
      <c r="AQ11" s="54">
        <v>260.38116591928247</v>
      </c>
      <c r="AR11" s="54">
        <v>421.5695067264574</v>
      </c>
      <c r="AS11" s="54">
        <v>503.40358744394621</v>
      </c>
      <c r="AT11" s="56">
        <v>358.33408071748875</v>
      </c>
      <c r="AU11" s="12"/>
      <c r="AV11" s="63">
        <v>0.05</v>
      </c>
      <c r="AW11" s="60">
        <v>0.05</v>
      </c>
      <c r="AX11" s="60">
        <v>0.7</v>
      </c>
      <c r="AY11" s="60">
        <f t="shared" si="12"/>
        <v>0.25</v>
      </c>
      <c r="AZ11" s="61">
        <f t="shared" si="28"/>
        <v>463.04450672645737</v>
      </c>
      <c r="BA11" s="64">
        <f t="shared" si="13"/>
        <v>78121117.754428878</v>
      </c>
      <c r="BB11" s="25"/>
      <c r="BC11" s="66">
        <v>0.8</v>
      </c>
      <c r="BD11" s="60">
        <v>0.05</v>
      </c>
      <c r="BE11" s="60">
        <v>0.05</v>
      </c>
      <c r="BF11" s="60">
        <v>0.05</v>
      </c>
      <c r="BG11" s="60">
        <v>0.05</v>
      </c>
      <c r="BH11" s="61">
        <f t="shared" si="29"/>
        <v>186.29652466367713</v>
      </c>
      <c r="BI11" s="64">
        <f t="shared" si="14"/>
        <v>99005887.05100885</v>
      </c>
      <c r="BJ11" s="25"/>
      <c r="BK11" s="68">
        <f t="shared" si="15"/>
        <v>1.2977870886182559</v>
      </c>
      <c r="BL11" s="67">
        <f t="shared" si="16"/>
        <v>1.3426410807214859</v>
      </c>
      <c r="BM11" s="47">
        <f t="shared" si="17"/>
        <v>1.3224819831470007</v>
      </c>
      <c r="BN11" s="49"/>
      <c r="BO11" s="39">
        <f t="shared" si="18"/>
        <v>11.558136254823111</v>
      </c>
      <c r="BP11" s="40">
        <f t="shared" si="19"/>
        <v>11.172010312644053</v>
      </c>
      <c r="BQ11" s="71">
        <f t="shared" si="30"/>
        <v>11.342309529469539</v>
      </c>
    </row>
    <row r="12" spans="1:69" x14ac:dyDescent="0.45">
      <c r="A12" s="5" t="s">
        <v>9</v>
      </c>
      <c r="B12" s="37">
        <v>28920400</v>
      </c>
      <c r="C12" s="2">
        <v>4.1244739002759025E-2</v>
      </c>
      <c r="D12" s="51">
        <v>0.36530639999999998</v>
      </c>
      <c r="E12" s="51">
        <v>5.1109390000000005E-2</v>
      </c>
      <c r="F12" s="51">
        <v>0.18619677054285355</v>
      </c>
      <c r="G12" s="51"/>
      <c r="H12" s="51"/>
      <c r="I12" s="51">
        <f>0.5*0.69%</f>
        <v>3.4499999999999999E-3</v>
      </c>
      <c r="J12" s="2">
        <f t="shared" si="20"/>
        <v>0.6473072995456125</v>
      </c>
      <c r="K12" s="38">
        <f t="shared" si="0"/>
        <v>18720386.025778931</v>
      </c>
      <c r="L12" s="39">
        <v>0.71</v>
      </c>
      <c r="M12" s="40">
        <f t="shared" si="31"/>
        <v>0.24849999999999997</v>
      </c>
      <c r="N12" s="40">
        <f t="shared" si="21"/>
        <v>0.29000000000000004</v>
      </c>
      <c r="O12" s="38">
        <f t="shared" si="1"/>
        <v>5428911.9474758906</v>
      </c>
      <c r="P12" s="41">
        <f t="shared" si="2"/>
        <v>4652015.9274060633</v>
      </c>
      <c r="Q12" s="37">
        <v>7</v>
      </c>
      <c r="R12" s="42">
        <f t="shared" si="22"/>
        <v>38002383.632331237</v>
      </c>
      <c r="S12" s="44">
        <f t="shared" si="23"/>
        <v>32564111.491842441</v>
      </c>
      <c r="T12" s="39">
        <v>0.18</v>
      </c>
      <c r="U12" s="43">
        <v>7.0000000000000007E-2</v>
      </c>
      <c r="V12" s="37">
        <v>12432.099792589577</v>
      </c>
      <c r="W12" s="78">
        <f t="shared" si="3"/>
        <v>359541.29884160758</v>
      </c>
      <c r="X12" s="42">
        <f t="shared" si="4"/>
        <v>12148.699517316376</v>
      </c>
      <c r="Y12" s="38">
        <f t="shared" si="5"/>
        <v>4048.4028372359835</v>
      </c>
      <c r="Z12" s="44">
        <f t="shared" si="24"/>
        <v>16197.10235455236</v>
      </c>
      <c r="AA12" s="45"/>
      <c r="AB12" s="68">
        <f t="shared" si="25"/>
        <v>1.04460013046573</v>
      </c>
      <c r="AC12" s="67">
        <f t="shared" si="26"/>
        <v>0.34809998600481562</v>
      </c>
      <c r="AD12" s="47">
        <f t="shared" si="27"/>
        <v>1.3927001164705457</v>
      </c>
      <c r="AE12" s="45"/>
      <c r="AF12" s="46">
        <v>0.18360000000000001</v>
      </c>
      <c r="AG12" s="67">
        <f t="shared" si="6"/>
        <v>2.2305012313792867</v>
      </c>
      <c r="AH12" s="67">
        <f t="shared" si="7"/>
        <v>0.74328676091652657</v>
      </c>
      <c r="AI12" s="47">
        <f t="shared" si="8"/>
        <v>2.9737879922958137</v>
      </c>
      <c r="AJ12" s="48"/>
      <c r="AK12" s="23">
        <v>7.2999999999999995E-2</v>
      </c>
      <c r="AL12" s="67">
        <f t="shared" si="9"/>
        <v>886.85506476409546</v>
      </c>
      <c r="AM12" s="67">
        <f t="shared" si="10"/>
        <v>295.53340711822676</v>
      </c>
      <c r="AN12" s="47">
        <f t="shared" si="11"/>
        <v>1182.3884718823224</v>
      </c>
      <c r="AO12" s="45"/>
      <c r="AP12" s="55">
        <v>160</v>
      </c>
      <c r="AQ12" s="54">
        <v>295</v>
      </c>
      <c r="AR12" s="54">
        <v>345</v>
      </c>
      <c r="AS12" s="54">
        <v>400</v>
      </c>
      <c r="AT12" s="56">
        <v>340</v>
      </c>
      <c r="AU12" s="12"/>
      <c r="AV12" s="63">
        <v>0.05</v>
      </c>
      <c r="AW12" s="60">
        <v>0.7</v>
      </c>
      <c r="AX12" s="60">
        <v>0.05</v>
      </c>
      <c r="AY12" s="60">
        <f t="shared" si="12"/>
        <v>0.25</v>
      </c>
      <c r="AZ12" s="61">
        <f t="shared" si="28"/>
        <v>346.5</v>
      </c>
      <c r="BA12" s="64">
        <f t="shared" si="13"/>
        <v>1881117989.8003962</v>
      </c>
      <c r="BB12" s="25"/>
      <c r="BC12" s="66">
        <v>0.8</v>
      </c>
      <c r="BD12" s="60">
        <v>0.05</v>
      </c>
      <c r="BE12" s="60">
        <v>0.05</v>
      </c>
      <c r="BF12" s="60">
        <v>0.05</v>
      </c>
      <c r="BG12" s="60">
        <v>0.05</v>
      </c>
      <c r="BH12" s="61">
        <f t="shared" si="29"/>
        <v>197</v>
      </c>
      <c r="BI12" s="64">
        <f t="shared" si="14"/>
        <v>916447137.69899452</v>
      </c>
      <c r="BJ12" s="25"/>
      <c r="BK12" s="68">
        <f t="shared" si="15"/>
        <v>2.1211109509768384</v>
      </c>
      <c r="BL12" s="67">
        <f t="shared" si="16"/>
        <v>3.1009933754540788</v>
      </c>
      <c r="BM12" s="47">
        <f t="shared" si="17"/>
        <v>2.3660287579138539</v>
      </c>
      <c r="BN12" s="49"/>
      <c r="BO12" s="39">
        <f t="shared" si="18"/>
        <v>7.0717658560444585</v>
      </c>
      <c r="BP12" s="40">
        <f t="shared" si="19"/>
        <v>4.8371596401116292</v>
      </c>
      <c r="BQ12" s="71">
        <f t="shared" si="30"/>
        <v>6.3397369748056729</v>
      </c>
    </row>
    <row r="13" spans="1:69" x14ac:dyDescent="0.45">
      <c r="A13" s="5" t="s">
        <v>10</v>
      </c>
      <c r="B13" s="37">
        <v>40257800</v>
      </c>
      <c r="C13" s="2">
        <v>8.8999999999999996E-2</v>
      </c>
      <c r="D13" s="51">
        <v>0.48239992999999998</v>
      </c>
      <c r="E13" s="51">
        <v>2.7841999999999998E-4</v>
      </c>
      <c r="F13" s="51">
        <v>0.27700000000000002</v>
      </c>
      <c r="G13" s="51">
        <v>2.1000000000000001E-2</v>
      </c>
      <c r="H13" s="51"/>
      <c r="I13" s="51">
        <f>0.5*0.74%</f>
        <v>3.7000000000000002E-3</v>
      </c>
      <c r="J13" s="2">
        <f t="shared" si="20"/>
        <v>0.87337834999999997</v>
      </c>
      <c r="K13" s="38">
        <f t="shared" si="0"/>
        <v>35160290.93863</v>
      </c>
      <c r="L13" s="39">
        <v>0.95</v>
      </c>
      <c r="M13" s="40">
        <f t="shared" si="31"/>
        <v>0.33250000000000002</v>
      </c>
      <c r="N13" s="40">
        <f t="shared" si="21"/>
        <v>5.0000000000000044E-2</v>
      </c>
      <c r="O13" s="38">
        <f t="shared" si="1"/>
        <v>1758014.5469315015</v>
      </c>
      <c r="P13" s="41">
        <f t="shared" si="2"/>
        <v>11690796.737094475</v>
      </c>
      <c r="Q13" s="37">
        <v>7</v>
      </c>
      <c r="R13" s="42">
        <f t="shared" si="22"/>
        <v>12306101.82852051</v>
      </c>
      <c r="S13" s="44">
        <f t="shared" si="23"/>
        <v>81835577.159661323</v>
      </c>
      <c r="T13" s="39">
        <v>0.18</v>
      </c>
      <c r="U13" s="43">
        <v>7.0000000000000007E-2</v>
      </c>
      <c r="V13" s="37">
        <v>13740.328453408725</v>
      </c>
      <c r="W13" s="78">
        <f t="shared" si="3"/>
        <v>553155.39481163782</v>
      </c>
      <c r="X13" s="42">
        <f t="shared" si="4"/>
        <v>4348.0255141276848</v>
      </c>
      <c r="Y13" s="38">
        <f t="shared" si="5"/>
        <v>11244.477093480198</v>
      </c>
      <c r="Z13" s="44">
        <f t="shared" si="24"/>
        <v>15592.502607607883</v>
      </c>
      <c r="AA13" s="45"/>
      <c r="AB13" s="68">
        <f t="shared" si="25"/>
        <v>0.37386289889318214</v>
      </c>
      <c r="AC13" s="67">
        <f t="shared" si="26"/>
        <v>0.96685099685986731</v>
      </c>
      <c r="AD13" s="47">
        <f t="shared" si="27"/>
        <v>1.3407138957530496</v>
      </c>
      <c r="AE13" s="45"/>
      <c r="AF13" s="46">
        <v>0.18360000000000001</v>
      </c>
      <c r="AG13" s="67">
        <f t="shared" si="6"/>
        <v>0.79829748439384296</v>
      </c>
      <c r="AH13" s="67">
        <f t="shared" si="7"/>
        <v>2.0644859943629643</v>
      </c>
      <c r="AI13" s="47">
        <f t="shared" si="8"/>
        <v>2.8627834787568078</v>
      </c>
      <c r="AJ13" s="48"/>
      <c r="AK13" s="23">
        <v>6.8000000000000005E-2</v>
      </c>
      <c r="AL13" s="67">
        <f t="shared" si="9"/>
        <v>295.66573496068258</v>
      </c>
      <c r="AM13" s="67">
        <f t="shared" si="10"/>
        <v>764.62444235665362</v>
      </c>
      <c r="AN13" s="47">
        <f t="shared" si="11"/>
        <v>1060.2901773173362</v>
      </c>
      <c r="AO13" s="45"/>
      <c r="AP13" s="55">
        <v>110</v>
      </c>
      <c r="AQ13" s="54">
        <v>210</v>
      </c>
      <c r="AR13" s="54">
        <v>340</v>
      </c>
      <c r="AS13" s="54">
        <v>406</v>
      </c>
      <c r="AT13" s="56">
        <v>289</v>
      </c>
      <c r="AU13" s="12"/>
      <c r="AV13" s="63">
        <v>0.05</v>
      </c>
      <c r="AW13" s="60">
        <v>0.05</v>
      </c>
      <c r="AX13" s="60">
        <v>0.7</v>
      </c>
      <c r="AY13" s="60">
        <f t="shared" si="12"/>
        <v>0.25</v>
      </c>
      <c r="AZ13" s="61">
        <f t="shared" si="28"/>
        <v>373.45</v>
      </c>
      <c r="BA13" s="64">
        <f t="shared" si="13"/>
        <v>656530532.55156922</v>
      </c>
      <c r="BB13" s="25"/>
      <c r="BC13" s="66">
        <v>0.8</v>
      </c>
      <c r="BD13" s="60">
        <v>0.05</v>
      </c>
      <c r="BE13" s="60">
        <v>0.05</v>
      </c>
      <c r="BF13" s="60">
        <v>0.05</v>
      </c>
      <c r="BG13" s="60">
        <v>0.05</v>
      </c>
      <c r="BH13" s="61">
        <f t="shared" si="29"/>
        <v>150.25</v>
      </c>
      <c r="BI13" s="64">
        <f t="shared" si="14"/>
        <v>1756542209.7484448</v>
      </c>
      <c r="BJ13" s="25"/>
      <c r="BK13" s="68">
        <f t="shared" si="15"/>
        <v>2.2205161265605371</v>
      </c>
      <c r="BL13" s="67">
        <f t="shared" si="16"/>
        <v>2.2972613906175892</v>
      </c>
      <c r="BM13" s="47">
        <f t="shared" si="17"/>
        <v>2.2758606973096582</v>
      </c>
      <c r="BN13" s="49"/>
      <c r="BO13" s="39">
        <f t="shared" si="18"/>
        <v>6.7551862472776598</v>
      </c>
      <c r="BP13" s="40">
        <f t="shared" si="19"/>
        <v>6.5295138207879075</v>
      </c>
      <c r="BQ13" s="71">
        <f t="shared" si="30"/>
        <v>6.5909130632344093</v>
      </c>
    </row>
    <row r="14" spans="1:69" x14ac:dyDescent="0.45">
      <c r="A14" s="5" t="s">
        <v>11</v>
      </c>
      <c r="B14" s="37">
        <v>4376100</v>
      </c>
      <c r="C14" s="2">
        <v>1.2451367457939864E-2</v>
      </c>
      <c r="D14" s="51">
        <v>6.4998999999999994E-3</v>
      </c>
      <c r="E14" s="51">
        <v>0</v>
      </c>
      <c r="F14" s="51">
        <v>0.55700000000000005</v>
      </c>
      <c r="G14" s="51"/>
      <c r="H14" s="51"/>
      <c r="I14" s="51">
        <f>0.5*0.01%</f>
        <v>5.0000000000000002E-5</v>
      </c>
      <c r="J14" s="2">
        <f t="shared" si="20"/>
        <v>0.57600126745793989</v>
      </c>
      <c r="K14" s="38">
        <f t="shared" si="0"/>
        <v>2520639.1465226905</v>
      </c>
      <c r="L14" s="39">
        <v>0.15</v>
      </c>
      <c r="M14" s="40">
        <f t="shared" si="31"/>
        <v>5.2499999999999998E-2</v>
      </c>
      <c r="N14" s="40">
        <f t="shared" si="21"/>
        <v>0.85</v>
      </c>
      <c r="O14" s="38">
        <f t="shared" si="1"/>
        <v>2142543.274544287</v>
      </c>
      <c r="P14" s="41">
        <f t="shared" si="2"/>
        <v>132333.55519244124</v>
      </c>
      <c r="Q14" s="37">
        <v>7</v>
      </c>
      <c r="R14" s="42">
        <f t="shared" si="22"/>
        <v>14997802.921810009</v>
      </c>
      <c r="S14" s="44">
        <f t="shared" si="23"/>
        <v>926334.88634708873</v>
      </c>
      <c r="T14" s="39">
        <v>0.18</v>
      </c>
      <c r="U14" s="43">
        <v>7.0000000000000007E-2</v>
      </c>
      <c r="V14" s="37">
        <v>10788.97722811538</v>
      </c>
      <c r="W14" s="78">
        <f t="shared" si="3"/>
        <v>47213.643247955712</v>
      </c>
      <c r="X14" s="42">
        <f t="shared" si="4"/>
        <v>4160.8531078758124</v>
      </c>
      <c r="Y14" s="38">
        <f t="shared" si="5"/>
        <v>99.942059944075893</v>
      </c>
      <c r="Z14" s="44">
        <f t="shared" si="24"/>
        <v>4260.7951678198879</v>
      </c>
      <c r="AA14" s="45"/>
      <c r="AB14" s="68">
        <f t="shared" si="25"/>
        <v>0.35776896886292647</v>
      </c>
      <c r="AC14" s="67">
        <f t="shared" si="26"/>
        <v>8.5934703305310754E-3</v>
      </c>
      <c r="AD14" s="47">
        <f t="shared" si="27"/>
        <v>0.36636243919345746</v>
      </c>
      <c r="AE14" s="45"/>
      <c r="AF14" s="46">
        <v>0.18360000000000001</v>
      </c>
      <c r="AG14" s="67">
        <f t="shared" si="6"/>
        <v>0.76393263060599925</v>
      </c>
      <c r="AH14" s="67">
        <f t="shared" si="7"/>
        <v>1.8349362205732335E-2</v>
      </c>
      <c r="AI14" s="47">
        <f t="shared" si="8"/>
        <v>0.7822819928117315</v>
      </c>
      <c r="AJ14" s="48"/>
      <c r="AK14" s="23">
        <v>7.4999999999999997E-2</v>
      </c>
      <c r="AL14" s="67">
        <f t="shared" si="9"/>
        <v>312.06398309068589</v>
      </c>
      <c r="AM14" s="67">
        <f t="shared" si="10"/>
        <v>7.4956544958056917</v>
      </c>
      <c r="AN14" s="47">
        <f t="shared" si="11"/>
        <v>319.55963758649159</v>
      </c>
      <c r="AO14" s="45"/>
      <c r="AP14" s="55">
        <v>68.562547480412249</v>
      </c>
      <c r="AQ14" s="54">
        <v>105.636020880149</v>
      </c>
      <c r="AR14" s="54">
        <v>159.1814946619217</v>
      </c>
      <c r="AS14" s="54">
        <v>178.13167259786476</v>
      </c>
      <c r="AT14" s="56">
        <v>159.1814946619217</v>
      </c>
      <c r="AU14" s="12"/>
      <c r="AV14" s="63">
        <v>0.05</v>
      </c>
      <c r="AW14" s="60">
        <v>0.7</v>
      </c>
      <c r="AX14" s="60">
        <v>0.05</v>
      </c>
      <c r="AY14" s="60">
        <f t="shared" si="12"/>
        <v>0.25</v>
      </c>
      <c r="AZ14" s="61">
        <f t="shared" si="28"/>
        <v>160.12900355871886</v>
      </c>
      <c r="BA14" s="64">
        <f t="shared" si="13"/>
        <v>343083319.6342113</v>
      </c>
      <c r="BB14" s="25"/>
      <c r="BC14" s="66">
        <v>0.8</v>
      </c>
      <c r="BD14" s="60">
        <v>0.05</v>
      </c>
      <c r="BE14" s="60">
        <v>0.05</v>
      </c>
      <c r="BF14" s="60">
        <v>0.05</v>
      </c>
      <c r="BG14" s="60">
        <v>0.05</v>
      </c>
      <c r="BH14" s="61">
        <f t="shared" si="29"/>
        <v>84.956572124422664</v>
      </c>
      <c r="BI14" s="64">
        <f t="shared" si="14"/>
        <v>11242605.226187902</v>
      </c>
      <c r="BJ14" s="25"/>
      <c r="BK14" s="68">
        <f t="shared" si="15"/>
        <v>1.0994005659874924</v>
      </c>
      <c r="BL14" s="67">
        <f t="shared" si="16"/>
        <v>1.4998830632440268</v>
      </c>
      <c r="BM14" s="47">
        <f t="shared" si="17"/>
        <v>1.1087943631945627</v>
      </c>
      <c r="BN14" s="49"/>
      <c r="BO14" s="39">
        <f t="shared" si="18"/>
        <v>13.643798688175909</v>
      </c>
      <c r="BP14" s="40">
        <f t="shared" si="19"/>
        <v>10.000779639152137</v>
      </c>
      <c r="BQ14" s="71">
        <f t="shared" si="30"/>
        <v>13.528207301472289</v>
      </c>
    </row>
    <row r="15" spans="1:69" x14ac:dyDescent="0.45">
      <c r="A15" s="5" t="s">
        <v>12</v>
      </c>
      <c r="B15" s="37">
        <v>4151600</v>
      </c>
      <c r="C15" s="2">
        <v>0.17252730432658211</v>
      </c>
      <c r="D15" s="51">
        <v>0.60544044000000008</v>
      </c>
      <c r="E15" s="51">
        <v>0</v>
      </c>
      <c r="F15" s="51">
        <v>1.3779729390819334E-3</v>
      </c>
      <c r="G15" s="51">
        <v>3.5999999999999997E-2</v>
      </c>
      <c r="H15" s="51"/>
      <c r="I15" s="51"/>
      <c r="J15" s="2">
        <f t="shared" si="20"/>
        <v>0.81534571726566418</v>
      </c>
      <c r="K15" s="38">
        <f t="shared" si="0"/>
        <v>3384989.2798001315</v>
      </c>
      <c r="L15" s="39">
        <v>0.47</v>
      </c>
      <c r="M15" s="40">
        <f t="shared" si="31"/>
        <v>0.16449999999999998</v>
      </c>
      <c r="N15" s="40">
        <f t="shared" si="21"/>
        <v>0.53</v>
      </c>
      <c r="O15" s="38">
        <f t="shared" si="1"/>
        <v>1794044.3182940697</v>
      </c>
      <c r="P15" s="41">
        <f t="shared" si="2"/>
        <v>556830.73652712151</v>
      </c>
      <c r="Q15" s="37">
        <v>7</v>
      </c>
      <c r="R15" s="42">
        <f t="shared" si="22"/>
        <v>12558310.228058487</v>
      </c>
      <c r="S15" s="44">
        <f t="shared" si="23"/>
        <v>3897815.1556898504</v>
      </c>
      <c r="T15" s="39">
        <v>0.18</v>
      </c>
      <c r="U15" s="43">
        <v>7.0000000000000007E-2</v>
      </c>
      <c r="V15" s="37">
        <v>11835.133422376779</v>
      </c>
      <c r="W15" s="78">
        <f t="shared" si="3"/>
        <v>49134.739916339437</v>
      </c>
      <c r="X15" s="42">
        <f t="shared" si="4"/>
        <v>3821.8956970801155</v>
      </c>
      <c r="Y15" s="38">
        <f t="shared" si="5"/>
        <v>461.31162423351702</v>
      </c>
      <c r="Z15" s="44">
        <f t="shared" si="24"/>
        <v>4283.2073213136327</v>
      </c>
      <c r="AA15" s="45"/>
      <c r="AB15" s="68">
        <f t="shared" si="25"/>
        <v>0.32862387765091455</v>
      </c>
      <c r="AC15" s="67">
        <f t="shared" si="26"/>
        <v>3.9665659865306915E-2</v>
      </c>
      <c r="AD15" s="47">
        <f t="shared" si="27"/>
        <v>0.36828953751622145</v>
      </c>
      <c r="AE15" s="45"/>
      <c r="AF15" s="46">
        <v>0.18360000000000001</v>
      </c>
      <c r="AG15" s="67">
        <f t="shared" si="6"/>
        <v>0.70170004998390922</v>
      </c>
      <c r="AH15" s="67">
        <f t="shared" si="7"/>
        <v>8.4696814209273746E-2</v>
      </c>
      <c r="AI15" s="47">
        <f t="shared" si="8"/>
        <v>0.78639686419318311</v>
      </c>
      <c r="AJ15" s="48"/>
      <c r="AK15" s="23">
        <v>3.5000000000000003E-2</v>
      </c>
      <c r="AL15" s="67">
        <f t="shared" si="9"/>
        <v>133.76634939780405</v>
      </c>
      <c r="AM15" s="67">
        <f t="shared" si="10"/>
        <v>16.145906848173098</v>
      </c>
      <c r="AN15" s="47">
        <f t="shared" si="11"/>
        <v>149.91225624597718</v>
      </c>
      <c r="AO15" s="45"/>
      <c r="AP15" s="55">
        <v>100</v>
      </c>
      <c r="AQ15" s="54">
        <v>210</v>
      </c>
      <c r="AR15" s="54">
        <v>220</v>
      </c>
      <c r="AS15" s="54">
        <v>430</v>
      </c>
      <c r="AT15" s="56">
        <v>220</v>
      </c>
      <c r="AU15" s="12"/>
      <c r="AV15" s="63">
        <v>0.05</v>
      </c>
      <c r="AW15" s="60">
        <v>0.7</v>
      </c>
      <c r="AX15" s="60">
        <v>0.05</v>
      </c>
      <c r="AY15" s="60">
        <f t="shared" si="12"/>
        <v>0.25</v>
      </c>
      <c r="AZ15" s="61">
        <f t="shared" si="28"/>
        <v>230.5</v>
      </c>
      <c r="BA15" s="64">
        <f t="shared" si="13"/>
        <v>413527215.36678308</v>
      </c>
      <c r="BB15" s="25"/>
      <c r="BC15" s="66">
        <v>0.8</v>
      </c>
      <c r="BD15" s="60">
        <v>0.05</v>
      </c>
      <c r="BE15" s="60">
        <v>0.05</v>
      </c>
      <c r="BF15" s="60">
        <v>0.05</v>
      </c>
      <c r="BG15" s="60">
        <v>0.05</v>
      </c>
      <c r="BH15" s="61">
        <f t="shared" si="29"/>
        <v>134</v>
      </c>
      <c r="BI15" s="64">
        <f t="shared" si="14"/>
        <v>74615318.694634289</v>
      </c>
      <c r="BJ15" s="25"/>
      <c r="BK15" s="68">
        <f t="shared" si="15"/>
        <v>3.0914143746048262</v>
      </c>
      <c r="BL15" s="67">
        <f t="shared" si="16"/>
        <v>4.6213148258734673</v>
      </c>
      <c r="BM15" s="47">
        <f t="shared" si="17"/>
        <v>3.2561882949748244</v>
      </c>
      <c r="BN15" s="49"/>
      <c r="BO15" s="39">
        <f t="shared" si="18"/>
        <v>4.8521479757683545</v>
      </c>
      <c r="BP15" s="40">
        <f t="shared" si="19"/>
        <v>3.2458295020324379</v>
      </c>
      <c r="BQ15" s="71">
        <f t="shared" si="30"/>
        <v>4.6066132057378377</v>
      </c>
    </row>
    <row r="16" spans="1:69" x14ac:dyDescent="0.45">
      <c r="A16" s="5" t="s">
        <v>13</v>
      </c>
      <c r="B16" s="37">
        <v>1712000</v>
      </c>
      <c r="C16" s="2">
        <v>0</v>
      </c>
      <c r="D16" s="51">
        <v>0.34359723000000003</v>
      </c>
      <c r="E16" s="51">
        <v>0</v>
      </c>
      <c r="F16" s="51">
        <v>0.43343482663392385</v>
      </c>
      <c r="G16" s="51"/>
      <c r="H16" s="51">
        <f>37000/B16</f>
        <v>2.1612149532710279E-2</v>
      </c>
      <c r="I16" s="51"/>
      <c r="J16" s="2">
        <f t="shared" si="20"/>
        <v>0.79864420616663423</v>
      </c>
      <c r="K16" s="38">
        <f t="shared" si="0"/>
        <v>1367278.8809572777</v>
      </c>
      <c r="L16" s="39">
        <v>0.66</v>
      </c>
      <c r="M16" s="40">
        <f t="shared" si="31"/>
        <v>0.23099999999999998</v>
      </c>
      <c r="N16" s="40">
        <f t="shared" si="21"/>
        <v>0.33999999999999997</v>
      </c>
      <c r="O16" s="38">
        <f t="shared" si="1"/>
        <v>464874.81952547439</v>
      </c>
      <c r="P16" s="41">
        <f t="shared" si="2"/>
        <v>315841.42150113115</v>
      </c>
      <c r="Q16" s="37">
        <v>7</v>
      </c>
      <c r="R16" s="42">
        <f t="shared" si="22"/>
        <v>3254123.7366783209</v>
      </c>
      <c r="S16" s="44">
        <f t="shared" si="23"/>
        <v>2210889.9505079179</v>
      </c>
      <c r="T16" s="39">
        <v>0.18</v>
      </c>
      <c r="U16" s="43">
        <v>7.0000000000000007E-2</v>
      </c>
      <c r="V16" s="37">
        <v>15834.834262571288</v>
      </c>
      <c r="W16" s="78">
        <f t="shared" si="3"/>
        <v>27109.236257522047</v>
      </c>
      <c r="X16" s="42">
        <f t="shared" si="4"/>
        <v>1325.0188296051526</v>
      </c>
      <c r="Y16" s="38">
        <f t="shared" si="5"/>
        <v>350.09075939077326</v>
      </c>
      <c r="Z16" s="44">
        <f t="shared" si="24"/>
        <v>1675.1095889959258</v>
      </c>
      <c r="AA16" s="45"/>
      <c r="AB16" s="68">
        <f t="shared" si="25"/>
        <v>0.11393111174592946</v>
      </c>
      <c r="AC16" s="67">
        <f t="shared" si="26"/>
        <v>3.0102386877968627E-2</v>
      </c>
      <c r="AD16" s="47">
        <f t="shared" si="27"/>
        <v>0.14403349862389808</v>
      </c>
      <c r="AE16" s="45"/>
      <c r="AF16" s="46">
        <v>0.18360000000000001</v>
      </c>
      <c r="AG16" s="67">
        <f t="shared" si="6"/>
        <v>0.24327345711550602</v>
      </c>
      <c r="AH16" s="67">
        <f t="shared" si="7"/>
        <v>6.427666342414598E-2</v>
      </c>
      <c r="AI16" s="47">
        <f t="shared" si="8"/>
        <v>0.30755012053965197</v>
      </c>
      <c r="AJ16" s="48"/>
      <c r="AK16" s="23">
        <v>7.1999999999999995E-2</v>
      </c>
      <c r="AL16" s="67">
        <f t="shared" si="9"/>
        <v>95.401355731570973</v>
      </c>
      <c r="AM16" s="67">
        <f t="shared" si="10"/>
        <v>25.206534676135671</v>
      </c>
      <c r="AN16" s="47">
        <f t="shared" si="11"/>
        <v>120.60789040770666</v>
      </c>
      <c r="AO16" s="45"/>
      <c r="AP16" s="55">
        <v>156.41166668014921</v>
      </c>
      <c r="AQ16" s="54">
        <v>240.98734213520208</v>
      </c>
      <c r="AR16" s="54">
        <v>323.85120316637824</v>
      </c>
      <c r="AS16" s="54">
        <v>406.3715953307393</v>
      </c>
      <c r="AT16" s="56">
        <v>243.82295719844359</v>
      </c>
      <c r="AU16" s="12"/>
      <c r="AV16" s="63">
        <v>0.05</v>
      </c>
      <c r="AW16" s="60">
        <v>0.7</v>
      </c>
      <c r="AX16" s="60">
        <v>0.05</v>
      </c>
      <c r="AY16" s="60">
        <f t="shared" si="12"/>
        <v>0.25</v>
      </c>
      <c r="AZ16" s="61">
        <f t="shared" si="28"/>
        <v>307.97016128261259</v>
      </c>
      <c r="BA16" s="64">
        <f t="shared" si="13"/>
        <v>143167573.14548576</v>
      </c>
      <c r="BB16" s="25"/>
      <c r="BC16" s="66">
        <v>0.8</v>
      </c>
      <c r="BD16" s="60">
        <v>0.05</v>
      </c>
      <c r="BE16" s="60">
        <v>0.05</v>
      </c>
      <c r="BF16" s="60">
        <v>0.05</v>
      </c>
      <c r="BG16" s="60">
        <v>0.05</v>
      </c>
      <c r="BH16" s="61">
        <f t="shared" si="29"/>
        <v>185.88098823565755</v>
      </c>
      <c r="BI16" s="64">
        <f t="shared" si="14"/>
        <v>58708915.554385118</v>
      </c>
      <c r="BJ16" s="25"/>
      <c r="BK16" s="68">
        <f t="shared" si="15"/>
        <v>1.5006869875970494</v>
      </c>
      <c r="BL16" s="67">
        <f t="shared" si="16"/>
        <v>2.3291149024926416</v>
      </c>
      <c r="BM16" s="47">
        <f t="shared" si="17"/>
        <v>1.6738248883836815</v>
      </c>
      <c r="BN16" s="49"/>
      <c r="BO16" s="39">
        <f t="shared" si="18"/>
        <v>9.9954221792903706</v>
      </c>
      <c r="BP16" s="40">
        <f t="shared" si="19"/>
        <v>6.4402146858220064</v>
      </c>
      <c r="BQ16" s="71">
        <f t="shared" si="30"/>
        <v>8.961510910788677</v>
      </c>
    </row>
    <row r="17" spans="1:70" x14ac:dyDescent="0.45">
      <c r="A17" s="5" t="s">
        <v>14</v>
      </c>
      <c r="B17" s="37">
        <v>25788600</v>
      </c>
      <c r="C17" s="2">
        <v>0.19754639058151519</v>
      </c>
      <c r="D17" s="51">
        <v>0.49</v>
      </c>
      <c r="E17" s="51">
        <v>0</v>
      </c>
      <c r="F17" s="51">
        <v>0.2385453601304697</v>
      </c>
      <c r="G17" s="51"/>
      <c r="H17" s="51"/>
      <c r="I17" s="51"/>
      <c r="J17" s="2">
        <f t="shared" si="20"/>
        <v>0.9260917507119848</v>
      </c>
      <c r="K17" s="38">
        <f t="shared" si="0"/>
        <v>23882609.722411092</v>
      </c>
      <c r="L17" s="39">
        <v>0.2</v>
      </c>
      <c r="M17" s="40">
        <f t="shared" si="31"/>
        <v>7.0000000000000007E-2</v>
      </c>
      <c r="N17" s="40">
        <f t="shared" si="21"/>
        <v>0.8</v>
      </c>
      <c r="O17" s="38">
        <f t="shared" si="1"/>
        <v>19106087.777928874</v>
      </c>
      <c r="P17" s="41">
        <f t="shared" si="2"/>
        <v>1671782.6805687766</v>
      </c>
      <c r="Q17" s="37">
        <v>7</v>
      </c>
      <c r="R17" s="42">
        <f t="shared" si="22"/>
        <v>133742614.44550212</v>
      </c>
      <c r="S17" s="44">
        <f t="shared" si="23"/>
        <v>11702478.763981435</v>
      </c>
      <c r="T17" s="39">
        <v>0.18</v>
      </c>
      <c r="U17" s="43">
        <v>7.0000000000000007E-2</v>
      </c>
      <c r="V17" s="37">
        <v>9379.7930806445875</v>
      </c>
      <c r="W17" s="78">
        <f t="shared" si="3"/>
        <v>241891.73183951102</v>
      </c>
      <c r="X17" s="42">
        <f t="shared" si="4"/>
        <v>32258.006988768968</v>
      </c>
      <c r="Y17" s="38">
        <f t="shared" si="5"/>
        <v>1097.668293367833</v>
      </c>
      <c r="Z17" s="44">
        <f t="shared" si="24"/>
        <v>33355.675282136799</v>
      </c>
      <c r="AA17" s="45"/>
      <c r="AB17" s="68">
        <f t="shared" si="25"/>
        <v>2.7736893369534945</v>
      </c>
      <c r="AC17" s="67">
        <f t="shared" si="26"/>
        <v>9.43824843824453E-2</v>
      </c>
      <c r="AD17" s="47">
        <f t="shared" si="27"/>
        <v>2.8680718213359397</v>
      </c>
      <c r="AE17" s="45"/>
      <c r="AF17" s="46">
        <v>0.18360000000000001</v>
      </c>
      <c r="AG17" s="67">
        <f t="shared" si="6"/>
        <v>5.9225700831379822</v>
      </c>
      <c r="AH17" s="67">
        <f t="shared" si="7"/>
        <v>0.20153189866233417</v>
      </c>
      <c r="AI17" s="47">
        <f t="shared" si="8"/>
        <v>6.1241019818003171</v>
      </c>
      <c r="AJ17" s="48"/>
      <c r="AK17" s="23">
        <v>9.0999999999999998E-2</v>
      </c>
      <c r="AL17" s="67">
        <f t="shared" si="9"/>
        <v>2935.478635977976</v>
      </c>
      <c r="AM17" s="67">
        <f t="shared" si="10"/>
        <v>99.887814696472802</v>
      </c>
      <c r="AN17" s="47">
        <f t="shared" si="11"/>
        <v>3035.3664506744485</v>
      </c>
      <c r="AO17" s="45"/>
      <c r="AP17" s="55">
        <v>90.451060291060287</v>
      </c>
      <c r="AQ17" s="54">
        <v>139.36019656019658</v>
      </c>
      <c r="AR17" s="54">
        <v>210</v>
      </c>
      <c r="AS17" s="54">
        <v>235</v>
      </c>
      <c r="AT17" s="56">
        <v>210</v>
      </c>
      <c r="AU17" s="12"/>
      <c r="AV17" s="63">
        <v>0.05</v>
      </c>
      <c r="AW17" s="60">
        <v>0.7</v>
      </c>
      <c r="AX17" s="60">
        <v>0.05</v>
      </c>
      <c r="AY17" s="60">
        <f t="shared" si="12"/>
        <v>0.25</v>
      </c>
      <c r="AZ17" s="61">
        <f t="shared" si="28"/>
        <v>211.25</v>
      </c>
      <c r="BA17" s="64">
        <f t="shared" si="13"/>
        <v>4036161043.0874748</v>
      </c>
      <c r="BB17" s="25"/>
      <c r="BC17" s="66">
        <v>0.8</v>
      </c>
      <c r="BD17" s="60">
        <v>0.05</v>
      </c>
      <c r="BE17" s="60">
        <v>0.05</v>
      </c>
      <c r="BF17" s="60">
        <v>0.05</v>
      </c>
      <c r="BG17" s="60">
        <v>0.05</v>
      </c>
      <c r="BH17" s="61">
        <f t="shared" si="29"/>
        <v>112.07885806085805</v>
      </c>
      <c r="BI17" s="64">
        <f t="shared" si="14"/>
        <v>187371493.76406869</v>
      </c>
      <c r="BJ17" s="25"/>
      <c r="BK17" s="68">
        <f t="shared" si="15"/>
        <v>1.3749584117626523</v>
      </c>
      <c r="BL17" s="67">
        <f t="shared" si="16"/>
        <v>1.8758193312510727</v>
      </c>
      <c r="BM17" s="47">
        <f t="shared" si="17"/>
        <v>1.391440738864689</v>
      </c>
      <c r="BN17" s="49"/>
      <c r="BO17" s="39">
        <f t="shared" si="18"/>
        <v>10.90942087533432</v>
      </c>
      <c r="BP17" s="40">
        <f t="shared" si="19"/>
        <v>7.9965057135837219</v>
      </c>
      <c r="BQ17" s="71">
        <f t="shared" si="30"/>
        <v>10.780193206243819</v>
      </c>
    </row>
    <row r="18" spans="1:70" x14ac:dyDescent="0.45">
      <c r="A18" s="5" t="s">
        <v>15</v>
      </c>
      <c r="B18" s="37">
        <v>832700</v>
      </c>
      <c r="C18" s="2">
        <v>0.65</v>
      </c>
      <c r="D18" s="51">
        <v>5.9975050000000002E-2</v>
      </c>
      <c r="E18" s="51">
        <v>0</v>
      </c>
      <c r="F18" s="51">
        <v>4.06776592968727E-3</v>
      </c>
      <c r="G18" s="51"/>
      <c r="H18" s="51"/>
      <c r="I18" s="51"/>
      <c r="J18" s="2">
        <f t="shared" si="20"/>
        <v>0.71404281592968732</v>
      </c>
      <c r="K18" s="38">
        <f t="shared" si="0"/>
        <v>594583.45282465068</v>
      </c>
      <c r="L18" s="39">
        <v>0.47</v>
      </c>
      <c r="M18" s="40">
        <f t="shared" si="31"/>
        <v>0.16449999999999998</v>
      </c>
      <c r="N18" s="40">
        <f t="shared" si="21"/>
        <v>0.53</v>
      </c>
      <c r="O18" s="38">
        <f t="shared" si="1"/>
        <v>315129.22999706486</v>
      </c>
      <c r="P18" s="41">
        <f t="shared" si="2"/>
        <v>97808.977989655032</v>
      </c>
      <c r="Q18" s="37">
        <v>7</v>
      </c>
      <c r="R18" s="42">
        <f t="shared" si="22"/>
        <v>2205904.609979454</v>
      </c>
      <c r="S18" s="44">
        <f t="shared" si="23"/>
        <v>684662.84592758527</v>
      </c>
      <c r="T18" s="39">
        <v>0.18</v>
      </c>
      <c r="U18" s="43">
        <v>7.0000000000000007E-2</v>
      </c>
      <c r="V18" s="37">
        <v>15095.356306141717</v>
      </c>
      <c r="W18" s="78">
        <f t="shared" si="3"/>
        <v>12569.903196124209</v>
      </c>
      <c r="X18" s="42">
        <f t="shared" si="4"/>
        <v>856.25784167143979</v>
      </c>
      <c r="Y18" s="38">
        <f t="shared" si="5"/>
        <v>103.35229608853911</v>
      </c>
      <c r="Z18" s="44">
        <f t="shared" si="24"/>
        <v>959.6101377599789</v>
      </c>
      <c r="AA18" s="45"/>
      <c r="AB18" s="68">
        <f t="shared" si="25"/>
        <v>7.362492189780262E-2</v>
      </c>
      <c r="AC18" s="67">
        <f t="shared" si="26"/>
        <v>8.8866978579999704E-3</v>
      </c>
      <c r="AD18" s="47">
        <f t="shared" si="27"/>
        <v>8.2511619755802595E-2</v>
      </c>
      <c r="AE18" s="45"/>
      <c r="AF18" s="46">
        <v>0.18360000000000001</v>
      </c>
      <c r="AG18" s="67">
        <f t="shared" si="6"/>
        <v>0.15720893973087635</v>
      </c>
      <c r="AH18" s="67">
        <f t="shared" si="7"/>
        <v>1.8975481561855783E-2</v>
      </c>
      <c r="AI18" s="47">
        <f t="shared" si="8"/>
        <v>0.17618442129273215</v>
      </c>
      <c r="AJ18" s="48"/>
      <c r="AK18" s="23">
        <v>4.9000000000000002E-2</v>
      </c>
      <c r="AL18" s="67">
        <f t="shared" si="9"/>
        <v>41.956634241900545</v>
      </c>
      <c r="AM18" s="67">
        <f t="shared" si="10"/>
        <v>5.064262508338417</v>
      </c>
      <c r="AN18" s="47">
        <f t="shared" si="11"/>
        <v>47.020896750238968</v>
      </c>
      <c r="AO18" s="45"/>
      <c r="AP18" s="55">
        <v>75</v>
      </c>
      <c r="AQ18" s="54">
        <v>175</v>
      </c>
      <c r="AR18" s="54">
        <v>200</v>
      </c>
      <c r="AS18" s="54">
        <v>270</v>
      </c>
      <c r="AT18" s="56">
        <v>150</v>
      </c>
      <c r="AU18" s="12"/>
      <c r="AV18" s="63">
        <v>0.05</v>
      </c>
      <c r="AW18" s="60">
        <v>0.7</v>
      </c>
      <c r="AX18" s="60">
        <v>0.05</v>
      </c>
      <c r="AY18" s="60">
        <f t="shared" si="12"/>
        <v>0.25</v>
      </c>
      <c r="AZ18" s="61">
        <f t="shared" si="28"/>
        <v>191</v>
      </c>
      <c r="BA18" s="64">
        <f t="shared" si="13"/>
        <v>60189682.929439388</v>
      </c>
      <c r="BB18" s="25"/>
      <c r="BC18" s="66">
        <v>0.8</v>
      </c>
      <c r="BD18" s="60">
        <v>0.05</v>
      </c>
      <c r="BE18" s="60">
        <v>0.05</v>
      </c>
      <c r="BF18" s="60">
        <v>0.05</v>
      </c>
      <c r="BG18" s="60">
        <v>0.05</v>
      </c>
      <c r="BH18" s="61">
        <f t="shared" si="29"/>
        <v>99.75</v>
      </c>
      <c r="BI18" s="64">
        <f t="shared" si="14"/>
        <v>9756445.5544680897</v>
      </c>
      <c r="BJ18" s="25"/>
      <c r="BK18" s="68">
        <f t="shared" si="15"/>
        <v>1.4345689070866929</v>
      </c>
      <c r="BL18" s="67">
        <f t="shared" si="16"/>
        <v>1.9265284014017623</v>
      </c>
      <c r="BM18" s="47">
        <f t="shared" si="17"/>
        <v>1.4875541156826617</v>
      </c>
      <c r="BN18" s="49"/>
      <c r="BO18" s="39">
        <f t="shared" si="18"/>
        <v>10.456102823573557</v>
      </c>
      <c r="BP18" s="40">
        <f t="shared" si="19"/>
        <v>7.7860258842204653</v>
      </c>
      <c r="BQ18" s="71">
        <f t="shared" si="30"/>
        <v>10.083666766715417</v>
      </c>
    </row>
    <row r="19" spans="1:70" x14ac:dyDescent="0.45">
      <c r="A19" s="5" t="s">
        <v>16</v>
      </c>
      <c r="B19" s="37">
        <v>1331500</v>
      </c>
      <c r="C19" s="2">
        <v>0.57628051058147556</v>
      </c>
      <c r="D19" s="51">
        <v>0.1193582</v>
      </c>
      <c r="E19" s="51">
        <v>0</v>
      </c>
      <c r="F19" s="51">
        <v>2.1037981485974057E-4</v>
      </c>
      <c r="G19" s="51"/>
      <c r="H19" s="51"/>
      <c r="I19" s="51"/>
      <c r="J19" s="2">
        <f t="shared" si="20"/>
        <v>0.69584909039633525</v>
      </c>
      <c r="K19" s="38">
        <f t="shared" si="0"/>
        <v>926523.06386272039</v>
      </c>
      <c r="L19" s="39">
        <v>0.47</v>
      </c>
      <c r="M19" s="40">
        <f t="shared" si="31"/>
        <v>0.16449999999999998</v>
      </c>
      <c r="N19" s="40">
        <f t="shared" si="21"/>
        <v>0.53</v>
      </c>
      <c r="O19" s="38">
        <f t="shared" si="1"/>
        <v>491057.22384724184</v>
      </c>
      <c r="P19" s="41">
        <f t="shared" si="2"/>
        <v>152413.0440054175</v>
      </c>
      <c r="Q19" s="37">
        <v>7</v>
      </c>
      <c r="R19" s="42">
        <f t="shared" si="22"/>
        <v>3437400.5669306926</v>
      </c>
      <c r="S19" s="44">
        <f t="shared" si="23"/>
        <v>1066891.3080379225</v>
      </c>
      <c r="T19" s="39">
        <v>0.18</v>
      </c>
      <c r="U19" s="43">
        <v>7.0000000000000007E-2</v>
      </c>
      <c r="V19" s="37">
        <v>8717.1328264808344</v>
      </c>
      <c r="W19" s="78">
        <f t="shared" si="3"/>
        <v>11606.86235845923</v>
      </c>
      <c r="X19" s="42">
        <f t="shared" si="4"/>
        <v>770.50998822228098</v>
      </c>
      <c r="Y19" s="38">
        <f t="shared" si="5"/>
        <v>93.002332435844494</v>
      </c>
      <c r="Z19" s="44">
        <f t="shared" si="24"/>
        <v>863.51232065812542</v>
      </c>
      <c r="AA19" s="45"/>
      <c r="AB19" s="68">
        <f t="shared" si="25"/>
        <v>6.6251933639061497E-2</v>
      </c>
      <c r="AC19" s="67">
        <f t="shared" si="26"/>
        <v>7.9967611724716236E-3</v>
      </c>
      <c r="AD19" s="47">
        <f t="shared" si="27"/>
        <v>7.4248694811533109E-2</v>
      </c>
      <c r="AE19" s="45"/>
      <c r="AF19" s="46">
        <v>0.18360000000000001</v>
      </c>
      <c r="AG19" s="67">
        <f t="shared" si="6"/>
        <v>0.14146563383761082</v>
      </c>
      <c r="AH19" s="67">
        <f t="shared" si="7"/>
        <v>1.7075228235221052E-2</v>
      </c>
      <c r="AI19" s="47">
        <f t="shared" si="8"/>
        <v>0.15854086207283183</v>
      </c>
      <c r="AJ19" s="48"/>
      <c r="AK19" s="23">
        <v>4.3999999999999997E-2</v>
      </c>
      <c r="AL19" s="67">
        <f t="shared" si="9"/>
        <v>33.902439481780355</v>
      </c>
      <c r="AM19" s="67">
        <f t="shared" si="10"/>
        <v>4.092102627177157</v>
      </c>
      <c r="AN19" s="47">
        <f t="shared" si="11"/>
        <v>37.994542108957518</v>
      </c>
      <c r="AO19" s="45"/>
      <c r="AP19" s="55">
        <v>130</v>
      </c>
      <c r="AQ19" s="54">
        <v>160.1159705159705</v>
      </c>
      <c r="AR19" s="54">
        <v>200</v>
      </c>
      <c r="AS19" s="54">
        <v>270</v>
      </c>
      <c r="AT19" s="56">
        <v>150</v>
      </c>
      <c r="AU19" s="12"/>
      <c r="AV19" s="63">
        <v>0.05</v>
      </c>
      <c r="AW19" s="60">
        <v>0.7</v>
      </c>
      <c r="AX19" s="60">
        <v>0.05</v>
      </c>
      <c r="AY19" s="60">
        <f t="shared" si="12"/>
        <v>0.25</v>
      </c>
      <c r="AZ19" s="61">
        <f t="shared" si="28"/>
        <v>191</v>
      </c>
      <c r="BA19" s="64">
        <f t="shared" si="13"/>
        <v>93791929.754823193</v>
      </c>
      <c r="BB19" s="25"/>
      <c r="BC19" s="66">
        <v>0.8</v>
      </c>
      <c r="BD19" s="60">
        <v>0.05</v>
      </c>
      <c r="BE19" s="60">
        <v>0.05</v>
      </c>
      <c r="BF19" s="60">
        <v>0.05</v>
      </c>
      <c r="BG19" s="60">
        <v>0.05</v>
      </c>
      <c r="BH19" s="61">
        <f t="shared" si="29"/>
        <v>143.00579852579853</v>
      </c>
      <c r="BI19" s="64">
        <f t="shared" si="14"/>
        <v>21795949.063742399</v>
      </c>
      <c r="BJ19" s="25"/>
      <c r="BK19" s="68">
        <f t="shared" si="15"/>
        <v>2.766524509400814</v>
      </c>
      <c r="BL19" s="67">
        <f t="shared" si="16"/>
        <v>5.3263446813350894</v>
      </c>
      <c r="BM19" s="47">
        <f t="shared" si="17"/>
        <v>3.0422232353029157</v>
      </c>
      <c r="BN19" s="49"/>
      <c r="BO19" s="39">
        <f t="shared" si="18"/>
        <v>5.4219653391933145</v>
      </c>
      <c r="BP19" s="40">
        <f t="shared" si="19"/>
        <v>2.8161902575633042</v>
      </c>
      <c r="BQ19" s="71">
        <f t="shared" si="30"/>
        <v>4.9306046400327501</v>
      </c>
    </row>
    <row r="20" spans="1:70" x14ac:dyDescent="0.45">
      <c r="A20" s="5" t="s">
        <v>17</v>
      </c>
      <c r="B20" s="37">
        <v>229100</v>
      </c>
      <c r="C20" s="2"/>
      <c r="D20" s="51">
        <v>0.44113168999999997</v>
      </c>
      <c r="E20" s="51">
        <v>0</v>
      </c>
      <c r="F20" s="51">
        <v>0.49994605319148933</v>
      </c>
      <c r="G20" s="51"/>
      <c r="H20" s="51"/>
      <c r="I20" s="51"/>
      <c r="J20" s="2">
        <f t="shared" si="20"/>
        <v>0.94107774319148929</v>
      </c>
      <c r="K20" s="38">
        <f t="shared" si="0"/>
        <v>215600.91096517019</v>
      </c>
      <c r="L20" s="39">
        <v>0.5</v>
      </c>
      <c r="M20" s="40">
        <f t="shared" si="31"/>
        <v>0.17499999999999999</v>
      </c>
      <c r="N20" s="40">
        <f t="shared" si="21"/>
        <v>0.5</v>
      </c>
      <c r="O20" s="38">
        <f t="shared" si="1"/>
        <v>107800.45548258509</v>
      </c>
      <c r="P20" s="41">
        <f t="shared" si="2"/>
        <v>37730.159418904783</v>
      </c>
      <c r="Q20" s="37">
        <v>7</v>
      </c>
      <c r="R20" s="42">
        <f t="shared" si="22"/>
        <v>754603.18837809563</v>
      </c>
      <c r="S20" s="44">
        <f t="shared" si="23"/>
        <v>264111.11593233346</v>
      </c>
      <c r="T20" s="39">
        <v>0.18</v>
      </c>
      <c r="U20" s="43">
        <v>7.0000000000000007E-2</v>
      </c>
      <c r="V20" s="37">
        <v>32003.327592866171</v>
      </c>
      <c r="W20" s="78">
        <f t="shared" si="3"/>
        <v>7331.9623515256399</v>
      </c>
      <c r="X20" s="42">
        <f t="shared" si="4"/>
        <v>620.99519246448426</v>
      </c>
      <c r="Y20" s="38">
        <f t="shared" si="5"/>
        <v>84.524345640999258</v>
      </c>
      <c r="Z20" s="44">
        <f t="shared" si="24"/>
        <v>705.51953810548355</v>
      </c>
      <c r="AA20" s="45"/>
      <c r="AB20" s="68">
        <f t="shared" si="25"/>
        <v>5.3395975276396189E-2</v>
      </c>
      <c r="AC20" s="67">
        <f t="shared" si="26"/>
        <v>7.2677855237317027E-3</v>
      </c>
      <c r="AD20" s="47">
        <f t="shared" si="27"/>
        <v>6.0663760800127885E-2</v>
      </c>
      <c r="AE20" s="45"/>
      <c r="AF20" s="46">
        <v>0.18360000000000001</v>
      </c>
      <c r="AG20" s="67">
        <f t="shared" si="6"/>
        <v>0.1140147173364793</v>
      </c>
      <c r="AH20" s="67">
        <f t="shared" si="7"/>
        <v>1.5518669859687464E-2</v>
      </c>
      <c r="AI20" s="47">
        <f t="shared" si="8"/>
        <v>0.12953338719616678</v>
      </c>
      <c r="AJ20" s="48"/>
      <c r="AK20" s="23">
        <v>4.8000000000000001E-2</v>
      </c>
      <c r="AL20" s="67">
        <f t="shared" si="9"/>
        <v>29.807769238295243</v>
      </c>
      <c r="AM20" s="67">
        <f t="shared" si="10"/>
        <v>4.0571685907679642</v>
      </c>
      <c r="AN20" s="47">
        <f t="shared" si="11"/>
        <v>33.864937829063209</v>
      </c>
      <c r="AO20" s="45"/>
      <c r="AP20" s="55">
        <v>180</v>
      </c>
      <c r="AQ20" s="54">
        <v>230</v>
      </c>
      <c r="AR20" s="54">
        <v>280</v>
      </c>
      <c r="AS20" s="54">
        <v>310</v>
      </c>
      <c r="AT20" s="56">
        <v>280</v>
      </c>
      <c r="AU20" s="12"/>
      <c r="AV20" s="63">
        <v>0.05</v>
      </c>
      <c r="AW20" s="60">
        <v>0.7</v>
      </c>
      <c r="AX20" s="60">
        <v>0.05</v>
      </c>
      <c r="AY20" s="60">
        <f t="shared" si="12"/>
        <v>0.25</v>
      </c>
      <c r="AZ20" s="61">
        <f t="shared" si="28"/>
        <v>281.5</v>
      </c>
      <c r="BA20" s="64">
        <f t="shared" si="13"/>
        <v>30345828.218347702</v>
      </c>
      <c r="BB20" s="25"/>
      <c r="BC20" s="66">
        <v>0.8</v>
      </c>
      <c r="BD20" s="60">
        <v>0.05</v>
      </c>
      <c r="BE20" s="60">
        <v>0.05</v>
      </c>
      <c r="BF20" s="60">
        <v>0.05</v>
      </c>
      <c r="BG20" s="60">
        <v>0.05</v>
      </c>
      <c r="BH20" s="61">
        <f t="shared" si="29"/>
        <v>199</v>
      </c>
      <c r="BI20" s="64">
        <f t="shared" si="14"/>
        <v>7508301.724362052</v>
      </c>
      <c r="BJ20" s="25"/>
      <c r="BK20" s="68">
        <f t="shared" si="15"/>
        <v>1.0180509643560041</v>
      </c>
      <c r="BL20" s="67">
        <f t="shared" si="16"/>
        <v>1.850626010821216</v>
      </c>
      <c r="BM20" s="47">
        <f t="shared" si="17"/>
        <v>1.1177971190669951</v>
      </c>
      <c r="BN20" s="49"/>
      <c r="BO20" s="39">
        <f t="shared" si="18"/>
        <v>14.734036433518494</v>
      </c>
      <c r="BP20" s="40">
        <f t="shared" si="19"/>
        <v>8.1053653803037946</v>
      </c>
      <c r="BQ20" s="71">
        <f t="shared" si="30"/>
        <v>13.419250903527313</v>
      </c>
    </row>
    <row r="21" spans="1:70" x14ac:dyDescent="0.45">
      <c r="A21" s="5" t="s">
        <v>18</v>
      </c>
      <c r="B21" s="37">
        <v>151300</v>
      </c>
      <c r="C21" s="2">
        <v>0</v>
      </c>
      <c r="D21" s="51">
        <v>0</v>
      </c>
      <c r="E21" s="51">
        <v>0</v>
      </c>
      <c r="F21" s="51">
        <v>0.29299999999999998</v>
      </c>
      <c r="G21" s="51"/>
      <c r="H21" s="51"/>
      <c r="I21" s="51"/>
      <c r="J21" s="2">
        <f t="shared" si="20"/>
        <v>0.29299999999999998</v>
      </c>
      <c r="K21" s="38">
        <f t="shared" si="0"/>
        <v>44330.899999999994</v>
      </c>
      <c r="L21" s="39">
        <v>0.15</v>
      </c>
      <c r="M21" s="40">
        <v>0.05</v>
      </c>
      <c r="N21" s="40">
        <f t="shared" si="21"/>
        <v>0.85</v>
      </c>
      <c r="O21" s="38">
        <f t="shared" si="1"/>
        <v>37681.264999999992</v>
      </c>
      <c r="P21" s="41">
        <f t="shared" si="2"/>
        <v>2216.5449999999996</v>
      </c>
      <c r="Q21" s="37">
        <v>7</v>
      </c>
      <c r="R21" s="42">
        <f t="shared" si="22"/>
        <v>263768.85499999992</v>
      </c>
      <c r="S21" s="44">
        <f t="shared" si="23"/>
        <v>15515.814999999997</v>
      </c>
      <c r="T21" s="39">
        <v>0.18</v>
      </c>
      <c r="U21" s="43">
        <v>7.0000000000000007E-2</v>
      </c>
      <c r="V21" s="37">
        <v>2656.041326255573</v>
      </c>
      <c r="W21" s="78">
        <f t="shared" si="3"/>
        <v>401.85905266246817</v>
      </c>
      <c r="X21" s="42">
        <f t="shared" si="4"/>
        <v>18.014939471805786</v>
      </c>
      <c r="Y21" s="38">
        <f t="shared" si="5"/>
        <v>0.4121064585053611</v>
      </c>
      <c r="Z21" s="44">
        <f t="shared" si="24"/>
        <v>18.427045930311145</v>
      </c>
      <c r="AA21" s="45"/>
      <c r="AB21" s="68">
        <f t="shared" si="25"/>
        <v>1.5490059735000759E-3</v>
      </c>
      <c r="AC21" s="67">
        <f t="shared" si="26"/>
        <v>3.5434777171570358E-5</v>
      </c>
      <c r="AD21" s="47">
        <f t="shared" si="27"/>
        <v>1.5844407506716458E-3</v>
      </c>
      <c r="AE21" s="45"/>
      <c r="AF21" s="46">
        <v>0.18360000000000001</v>
      </c>
      <c r="AG21" s="67">
        <f t="shared" si="6"/>
        <v>3.3075428870235424E-3</v>
      </c>
      <c r="AH21" s="67">
        <f t="shared" si="7"/>
        <v>7.566274578158431E-5</v>
      </c>
      <c r="AI21" s="47">
        <f t="shared" si="8"/>
        <v>3.3832056328051262E-3</v>
      </c>
      <c r="AJ21" s="48"/>
      <c r="AK21" s="23">
        <v>7.4999999999999997E-2</v>
      </c>
      <c r="AL21" s="67">
        <f t="shared" si="9"/>
        <v>1.3511204603854339</v>
      </c>
      <c r="AM21" s="67">
        <f t="shared" si="10"/>
        <v>3.0907984387902081E-2</v>
      </c>
      <c r="AN21" s="47">
        <f t="shared" si="11"/>
        <v>1.3820284447733358</v>
      </c>
      <c r="AO21" s="45"/>
      <c r="AP21" s="55">
        <v>85.772557172557171</v>
      </c>
      <c r="AQ21" s="54">
        <v>132.15191053122089</v>
      </c>
      <c r="AR21" s="54">
        <v>199.13793103448276</v>
      </c>
      <c r="AS21" s="54">
        <v>222.84482758620689</v>
      </c>
      <c r="AT21" s="56">
        <v>199.13793103448276</v>
      </c>
      <c r="AU21" s="12"/>
      <c r="AV21" s="63">
        <v>0.05</v>
      </c>
      <c r="AW21" s="60">
        <v>0.7</v>
      </c>
      <c r="AX21" s="60">
        <v>0.05</v>
      </c>
      <c r="AY21" s="60">
        <f t="shared" si="12"/>
        <v>0.25</v>
      </c>
      <c r="AZ21" s="61">
        <f t="shared" si="28"/>
        <v>200.32327586206898</v>
      </c>
      <c r="BA21" s="64">
        <f t="shared" si="13"/>
        <v>7548434.4434267236</v>
      </c>
      <c r="BB21" s="25"/>
      <c r="BC21" s="66">
        <v>0.8</v>
      </c>
      <c r="BD21" s="60">
        <v>0.05</v>
      </c>
      <c r="BE21" s="60">
        <v>0.05</v>
      </c>
      <c r="BF21" s="60">
        <v>0.05</v>
      </c>
      <c r="BG21" s="60">
        <v>0.05</v>
      </c>
      <c r="BH21" s="61">
        <f t="shared" si="29"/>
        <v>106.28167574736541</v>
      </c>
      <c r="BI21" s="64">
        <f t="shared" si="14"/>
        <v>235578.11696944403</v>
      </c>
      <c r="BJ21" s="25"/>
      <c r="BK21" s="68">
        <f t="shared" si="15"/>
        <v>5.5867960442797111</v>
      </c>
      <c r="BL21" s="67">
        <f t="shared" si="16"/>
        <v>7.6219178194503483</v>
      </c>
      <c r="BM21" s="47">
        <f t="shared" si="17"/>
        <v>5.6323099497947098</v>
      </c>
      <c r="BN21" s="49"/>
      <c r="BO21" s="39">
        <f t="shared" si="18"/>
        <v>2.6849020227538851</v>
      </c>
      <c r="BP21" s="40">
        <f t="shared" si="19"/>
        <v>1.9680086239872001</v>
      </c>
      <c r="BQ21" s="71">
        <f t="shared" si="30"/>
        <v>2.6632057066651189</v>
      </c>
    </row>
    <row r="22" spans="1:70" x14ac:dyDescent="0.45">
      <c r="A22" s="5" t="s">
        <v>19</v>
      </c>
      <c r="B22" s="37">
        <v>7621700</v>
      </c>
      <c r="C22" s="2">
        <v>0.11385267221655311</v>
      </c>
      <c r="D22" s="51">
        <v>0.22535824999999998</v>
      </c>
      <c r="E22" s="51">
        <v>0.63</v>
      </c>
      <c r="F22" s="51">
        <v>1.2680646616703363E-3</v>
      </c>
      <c r="G22" s="51"/>
      <c r="H22" s="51"/>
      <c r="I22" s="51">
        <f>0.5*0.51%</f>
        <v>2.5500000000000002E-3</v>
      </c>
      <c r="J22" s="2">
        <f t="shared" si="20"/>
        <v>0.97302898687822348</v>
      </c>
      <c r="K22" s="38">
        <f t="shared" si="0"/>
        <v>7416135.029289756</v>
      </c>
      <c r="L22" s="39">
        <v>0.3</v>
      </c>
      <c r="M22" s="40">
        <f t="shared" si="31"/>
        <v>0.105</v>
      </c>
      <c r="N22" s="40">
        <f t="shared" si="21"/>
        <v>0.7</v>
      </c>
      <c r="O22" s="38">
        <f t="shared" si="1"/>
        <v>5191294.520502829</v>
      </c>
      <c r="P22" s="41">
        <f t="shared" si="2"/>
        <v>778694.1780754244</v>
      </c>
      <c r="Q22" s="37">
        <v>7</v>
      </c>
      <c r="R22" s="42">
        <f t="shared" si="22"/>
        <v>36339061.643519804</v>
      </c>
      <c r="S22" s="44">
        <f t="shared" si="23"/>
        <v>5450859.2465279708</v>
      </c>
      <c r="T22" s="39">
        <v>0.18</v>
      </c>
      <c r="U22" s="43">
        <v>7.0000000000000007E-2</v>
      </c>
      <c r="V22" s="37">
        <v>11687.712942903339</v>
      </c>
      <c r="W22" s="78">
        <f t="shared" si="3"/>
        <v>89080.241736926371</v>
      </c>
      <c r="X22" s="42">
        <f t="shared" si="4"/>
        <v>10921.384828386736</v>
      </c>
      <c r="Y22" s="38">
        <f t="shared" si="5"/>
        <v>637.08078165589313</v>
      </c>
      <c r="Z22" s="44">
        <f t="shared" si="24"/>
        <v>11558.465610042629</v>
      </c>
      <c r="AA22" s="45"/>
      <c r="AB22" s="68">
        <f t="shared" si="25"/>
        <v>0.93907006262999082</v>
      </c>
      <c r="AC22" s="67">
        <f t="shared" si="26"/>
        <v>5.4779086986749485E-2</v>
      </c>
      <c r="AD22" s="47">
        <f t="shared" si="27"/>
        <v>0.99384914961674042</v>
      </c>
      <c r="AE22" s="45"/>
      <c r="AF22" s="46">
        <v>0.18360000000000001</v>
      </c>
      <c r="AG22" s="67">
        <f t="shared" si="6"/>
        <v>2.005166254491805</v>
      </c>
      <c r="AH22" s="67">
        <f t="shared" si="7"/>
        <v>0.11696803151202198</v>
      </c>
      <c r="AI22" s="47">
        <f t="shared" si="8"/>
        <v>2.1221342860038268</v>
      </c>
      <c r="AJ22" s="48"/>
      <c r="AK22" s="23">
        <v>7.6999999999999999E-2</v>
      </c>
      <c r="AL22" s="67">
        <f t="shared" si="9"/>
        <v>840.94663178577866</v>
      </c>
      <c r="AM22" s="67">
        <f t="shared" si="10"/>
        <v>49.055220187503771</v>
      </c>
      <c r="AN22" s="47">
        <f t="shared" si="11"/>
        <v>890.00185197328244</v>
      </c>
      <c r="AO22" s="45"/>
      <c r="AP22" s="55">
        <v>110</v>
      </c>
      <c r="AQ22" s="54">
        <v>230</v>
      </c>
      <c r="AR22" s="54">
        <v>260</v>
      </c>
      <c r="AS22" s="54">
        <v>500</v>
      </c>
      <c r="AT22" s="56">
        <v>230</v>
      </c>
      <c r="AU22" s="12"/>
      <c r="AV22" s="63">
        <v>0.05</v>
      </c>
      <c r="AW22" s="60">
        <v>0.7</v>
      </c>
      <c r="AX22" s="60">
        <v>0.05</v>
      </c>
      <c r="AY22" s="60">
        <f t="shared" si="12"/>
        <v>0.25</v>
      </c>
      <c r="AZ22" s="61">
        <f t="shared" si="28"/>
        <v>264.5</v>
      </c>
      <c r="BA22" s="64">
        <f t="shared" si="13"/>
        <v>1373097400.6729982</v>
      </c>
      <c r="BB22" s="25"/>
      <c r="BC22" s="66">
        <v>0.8</v>
      </c>
      <c r="BD22" s="60">
        <v>0.05</v>
      </c>
      <c r="BE22" s="60">
        <v>0.05</v>
      </c>
      <c r="BF22" s="60">
        <v>0.05</v>
      </c>
      <c r="BG22" s="60">
        <v>0.05</v>
      </c>
      <c r="BH22" s="61">
        <f t="shared" si="29"/>
        <v>149</v>
      </c>
      <c r="BI22" s="64">
        <f t="shared" si="14"/>
        <v>116025432.53323823</v>
      </c>
      <c r="BJ22" s="25"/>
      <c r="BK22" s="68">
        <f t="shared" si="15"/>
        <v>1.632799691173243</v>
      </c>
      <c r="BL22" s="67">
        <f t="shared" si="16"/>
        <v>2.365200524832102</v>
      </c>
      <c r="BM22" s="47">
        <f t="shared" si="17"/>
        <v>1.6731682410599515</v>
      </c>
      <c r="BN22" s="49"/>
      <c r="BO22" s="39">
        <f t="shared" si="18"/>
        <v>9.1866749369739278</v>
      </c>
      <c r="BP22" s="40">
        <f t="shared" si="19"/>
        <v>6.3419569894881542</v>
      </c>
      <c r="BQ22" s="71">
        <f t="shared" si="30"/>
        <v>8.9650279224147269</v>
      </c>
    </row>
    <row r="23" spans="1:70" x14ac:dyDescent="0.45">
      <c r="A23" s="5" t="s">
        <v>20</v>
      </c>
      <c r="B23" s="37">
        <v>14113400</v>
      </c>
      <c r="C23" s="2">
        <v>0.39999999999999997</v>
      </c>
      <c r="D23" s="51">
        <v>0.1</v>
      </c>
      <c r="E23" s="51">
        <v>0</v>
      </c>
      <c r="F23" s="51">
        <v>5.5999999999999999E-3</v>
      </c>
      <c r="G23" s="51">
        <v>0.35820000000000002</v>
      </c>
      <c r="H23" s="51"/>
      <c r="I23" s="51">
        <f>0.5*0.03%</f>
        <v>1.4999999999999999E-4</v>
      </c>
      <c r="J23" s="2">
        <f t="shared" si="20"/>
        <v>0.86394999999999988</v>
      </c>
      <c r="K23" s="38">
        <f t="shared" si="0"/>
        <v>12193271.929999998</v>
      </c>
      <c r="L23" s="39">
        <v>0.47</v>
      </c>
      <c r="M23" s="40">
        <f t="shared" si="31"/>
        <v>0.16449999999999998</v>
      </c>
      <c r="N23" s="40">
        <f t="shared" si="21"/>
        <v>0.53</v>
      </c>
      <c r="O23" s="38">
        <f t="shared" si="1"/>
        <v>6462434.1228999989</v>
      </c>
      <c r="P23" s="41">
        <f t="shared" si="2"/>
        <v>2005793.2324849993</v>
      </c>
      <c r="Q23" s="37">
        <v>7</v>
      </c>
      <c r="R23" s="42">
        <f t="shared" si="22"/>
        <v>45237038.86029999</v>
      </c>
      <c r="S23" s="44">
        <f t="shared" si="23"/>
        <v>14040552.627394995</v>
      </c>
      <c r="T23" s="39">
        <v>0.18</v>
      </c>
      <c r="U23" s="43">
        <v>7.0000000000000007E-2</v>
      </c>
      <c r="V23" s="37">
        <v>11791.272057302644</v>
      </c>
      <c r="W23" s="78">
        <f t="shared" si="3"/>
        <v>166414.93905353511</v>
      </c>
      <c r="X23" s="42">
        <f t="shared" si="4"/>
        <v>13716.057401191778</v>
      </c>
      <c r="Y23" s="38">
        <f t="shared" si="5"/>
        <v>1655.5597586448985</v>
      </c>
      <c r="Z23" s="44">
        <f t="shared" si="24"/>
        <v>15371.617159836676</v>
      </c>
      <c r="AA23" s="45"/>
      <c r="AB23" s="68">
        <f t="shared" si="25"/>
        <v>1.179368650145473</v>
      </c>
      <c r="AC23" s="67">
        <f t="shared" si="26"/>
        <v>0.14235251579061972</v>
      </c>
      <c r="AD23" s="47">
        <f t="shared" si="27"/>
        <v>1.3217211659360926</v>
      </c>
      <c r="AE23" s="45"/>
      <c r="AF23" s="46">
        <v>0.18360000000000001</v>
      </c>
      <c r="AG23" s="67">
        <f t="shared" si="6"/>
        <v>2.5182681388588106</v>
      </c>
      <c r="AH23" s="67">
        <f t="shared" si="7"/>
        <v>0.30396077168720337</v>
      </c>
      <c r="AI23" s="47">
        <f t="shared" si="8"/>
        <v>2.8222289105460137</v>
      </c>
      <c r="AJ23" s="48"/>
      <c r="AK23" s="23">
        <v>0.05</v>
      </c>
      <c r="AL23" s="67">
        <f t="shared" si="9"/>
        <v>685.80287005958894</v>
      </c>
      <c r="AM23" s="67">
        <f t="shared" si="10"/>
        <v>82.777987932244926</v>
      </c>
      <c r="AN23" s="47">
        <f t="shared" si="11"/>
        <v>768.5808579918338</v>
      </c>
      <c r="AO23" s="45"/>
      <c r="AP23" s="55">
        <v>110</v>
      </c>
      <c r="AQ23" s="54">
        <v>200</v>
      </c>
      <c r="AR23" s="54">
        <v>200</v>
      </c>
      <c r="AS23" s="54">
        <v>230</v>
      </c>
      <c r="AT23" s="56">
        <v>200</v>
      </c>
      <c r="AU23" s="12"/>
      <c r="AV23" s="63">
        <v>0.05</v>
      </c>
      <c r="AW23" s="60">
        <v>0.7</v>
      </c>
      <c r="AX23" s="60">
        <v>0.05</v>
      </c>
      <c r="AY23" s="60">
        <f t="shared" si="12"/>
        <v>0.25</v>
      </c>
      <c r="AZ23" s="61">
        <f t="shared" si="28"/>
        <v>201.5</v>
      </c>
      <c r="BA23" s="64">
        <f t="shared" si="13"/>
        <v>1302180475.7643497</v>
      </c>
      <c r="BB23" s="25"/>
      <c r="BC23" s="66">
        <v>0.8</v>
      </c>
      <c r="BD23" s="60">
        <v>0.05</v>
      </c>
      <c r="BE23" s="60">
        <v>0.05</v>
      </c>
      <c r="BF23" s="60">
        <v>0.05</v>
      </c>
      <c r="BG23" s="60">
        <v>0.05</v>
      </c>
      <c r="BH23" s="61">
        <f t="shared" si="29"/>
        <v>129.5</v>
      </c>
      <c r="BI23" s="64">
        <f t="shared" si="14"/>
        <v>259750223.60680741</v>
      </c>
      <c r="BJ23" s="25"/>
      <c r="BK23" s="68">
        <f t="shared" si="15"/>
        <v>1.8987679005356222</v>
      </c>
      <c r="BL23" s="67">
        <f t="shared" si="16"/>
        <v>3.1379141979075045</v>
      </c>
      <c r="BM23" s="47">
        <f t="shared" si="17"/>
        <v>2.0322269064210192</v>
      </c>
      <c r="BN23" s="49"/>
      <c r="BO23" s="39">
        <f t="shared" si="18"/>
        <v>7.8998596909968093</v>
      </c>
      <c r="BP23" s="40">
        <f t="shared" si="19"/>
        <v>4.7802454286362073</v>
      </c>
      <c r="BQ23" s="71">
        <f t="shared" si="30"/>
        <v>7.3810655456858854</v>
      </c>
    </row>
    <row r="24" spans="1:70" x14ac:dyDescent="0.45">
      <c r="A24" s="5" t="s">
        <v>21</v>
      </c>
      <c r="B24" s="37">
        <v>4082700</v>
      </c>
      <c r="C24" s="2">
        <v>0</v>
      </c>
      <c r="D24" s="51">
        <v>0.14017986000000002</v>
      </c>
      <c r="E24" s="51">
        <v>0</v>
      </c>
      <c r="F24" s="51">
        <v>5.8119379475547687E-3</v>
      </c>
      <c r="G24" s="51"/>
      <c r="H24" s="51"/>
      <c r="I24" s="51"/>
      <c r="J24" s="2">
        <f t="shared" si="20"/>
        <v>0.14599179794755479</v>
      </c>
      <c r="K24" s="38">
        <f t="shared" si="0"/>
        <v>596040.71348048199</v>
      </c>
      <c r="L24" s="39">
        <v>0.2</v>
      </c>
      <c r="M24" s="40">
        <f t="shared" si="31"/>
        <v>7.0000000000000007E-2</v>
      </c>
      <c r="N24" s="40">
        <f t="shared" si="21"/>
        <v>0.8</v>
      </c>
      <c r="O24" s="38">
        <f t="shared" si="1"/>
        <v>476832.57078438561</v>
      </c>
      <c r="P24" s="41">
        <f t="shared" si="2"/>
        <v>41722.849943633744</v>
      </c>
      <c r="Q24" s="37">
        <v>7</v>
      </c>
      <c r="R24" s="42">
        <f t="shared" si="22"/>
        <v>3337827.9954906991</v>
      </c>
      <c r="S24" s="44">
        <f t="shared" si="23"/>
        <v>292059.94960543618</v>
      </c>
      <c r="T24" s="39">
        <v>0.18</v>
      </c>
      <c r="U24" s="43">
        <v>7.0000000000000007E-2</v>
      </c>
      <c r="V24" s="37">
        <v>4320.2010189341008</v>
      </c>
      <c r="W24" s="78">
        <f t="shared" si="3"/>
        <v>17638.084700002255</v>
      </c>
      <c r="X24" s="42">
        <f t="shared" si="4"/>
        <v>370.80226046946046</v>
      </c>
      <c r="Y24" s="38">
        <f t="shared" si="5"/>
        <v>12.617576918752478</v>
      </c>
      <c r="Z24" s="44">
        <f t="shared" si="24"/>
        <v>383.41983738821295</v>
      </c>
      <c r="AA24" s="45"/>
      <c r="AB24" s="68">
        <f t="shared" si="25"/>
        <v>3.1883255414399174E-2</v>
      </c>
      <c r="AC24" s="67">
        <f t="shared" si="26"/>
        <v>1.0849163300733057E-3</v>
      </c>
      <c r="AD24" s="47">
        <f t="shared" si="27"/>
        <v>3.2968171744472488E-2</v>
      </c>
      <c r="AE24" s="45"/>
      <c r="AF24" s="46">
        <v>0.18360000000000001</v>
      </c>
      <c r="AG24" s="67">
        <f t="shared" si="6"/>
        <v>6.8079295022192954E-2</v>
      </c>
      <c r="AH24" s="67">
        <f t="shared" si="7"/>
        <v>2.3165871222829552E-3</v>
      </c>
      <c r="AI24" s="47">
        <f t="shared" si="8"/>
        <v>7.039588214447591E-2</v>
      </c>
      <c r="AJ24" s="48"/>
      <c r="AK24" s="23">
        <v>9.8000000000000004E-2</v>
      </c>
      <c r="AL24" s="67">
        <f t="shared" si="9"/>
        <v>36.338621526007131</v>
      </c>
      <c r="AM24" s="67">
        <f t="shared" si="10"/>
        <v>1.2365225380377429</v>
      </c>
      <c r="AN24" s="47">
        <f t="shared" si="11"/>
        <v>37.575144064044871</v>
      </c>
      <c r="AO24" s="45"/>
      <c r="AP24" s="55">
        <v>124.13207547169812</v>
      </c>
      <c r="AQ24" s="54">
        <v>192.45245932038387</v>
      </c>
      <c r="AR24" s="54">
        <v>258.62752769922582</v>
      </c>
      <c r="AS24" s="54">
        <v>324.52830188679246</v>
      </c>
      <c r="AT24" s="56">
        <v>206.88679245283018</v>
      </c>
      <c r="AU24" s="12"/>
      <c r="AV24" s="63">
        <v>0.05</v>
      </c>
      <c r="AW24" s="60">
        <v>0.7</v>
      </c>
      <c r="AX24" s="60">
        <v>0.05</v>
      </c>
      <c r="AY24" s="60">
        <f t="shared" si="12"/>
        <v>0.25</v>
      </c>
      <c r="AZ24" s="61">
        <f t="shared" si="28"/>
        <v>248.98738259700522</v>
      </c>
      <c r="BA24" s="64">
        <f t="shared" si="13"/>
        <v>118725293.73660539</v>
      </c>
      <c r="BB24" s="25"/>
      <c r="BC24" s="66">
        <v>0.8</v>
      </c>
      <c r="BD24" s="60">
        <v>0.05</v>
      </c>
      <c r="BE24" s="60">
        <v>0.05</v>
      </c>
      <c r="BF24" s="60">
        <v>0.05</v>
      </c>
      <c r="BG24" s="60">
        <v>0.05</v>
      </c>
      <c r="BH24" s="61">
        <f t="shared" si="29"/>
        <v>148.43041444532011</v>
      </c>
      <c r="BI24" s="64">
        <f t="shared" si="14"/>
        <v>6192939.9089734573</v>
      </c>
      <c r="BJ24" s="25"/>
      <c r="BK24" s="68">
        <f t="shared" si="15"/>
        <v>3.2671931061456219</v>
      </c>
      <c r="BL24" s="67">
        <f t="shared" si="16"/>
        <v>5.0083518241415401</v>
      </c>
      <c r="BM24" s="47">
        <f t="shared" si="17"/>
        <v>3.3244911432052593</v>
      </c>
      <c r="BN24" s="49"/>
      <c r="BO24" s="39">
        <f t="shared" si="18"/>
        <v>4.5910968567437447</v>
      </c>
      <c r="BP24" s="40">
        <f t="shared" si="19"/>
        <v>2.9949972619128218</v>
      </c>
      <c r="BQ24" s="71">
        <f t="shared" si="30"/>
        <v>4.5119687055439019</v>
      </c>
    </row>
    <row r="25" spans="1:70" x14ac:dyDescent="0.45">
      <c r="A25" s="5" t="s">
        <v>22</v>
      </c>
      <c r="B25" s="37">
        <v>7469700</v>
      </c>
      <c r="C25" s="2">
        <v>0.22887802227655529</v>
      </c>
      <c r="D25" s="51">
        <v>0.28008693000000007</v>
      </c>
      <c r="E25" s="51">
        <v>0</v>
      </c>
      <c r="F25" s="51">
        <v>9.5082857919043739E-4</v>
      </c>
      <c r="G25" s="51"/>
      <c r="H25" s="51"/>
      <c r="I25" s="51"/>
      <c r="J25" s="2">
        <f t="shared" si="20"/>
        <v>0.50991578085574574</v>
      </c>
      <c r="K25" s="38">
        <f t="shared" si="0"/>
        <v>3808917.9082581638</v>
      </c>
      <c r="L25" s="39">
        <v>0.65</v>
      </c>
      <c r="M25" s="40">
        <f t="shared" si="31"/>
        <v>0.22750000000000001</v>
      </c>
      <c r="N25" s="40">
        <f t="shared" si="21"/>
        <v>0.35</v>
      </c>
      <c r="O25" s="38">
        <f t="shared" si="1"/>
        <v>1333121.2678903572</v>
      </c>
      <c r="P25" s="41">
        <f t="shared" si="2"/>
        <v>866528.82412873232</v>
      </c>
      <c r="Q25" s="37">
        <v>7</v>
      </c>
      <c r="R25" s="42">
        <f t="shared" si="22"/>
        <v>9331848.875232501</v>
      </c>
      <c r="S25" s="44">
        <f t="shared" si="23"/>
        <v>6065701.7689011265</v>
      </c>
      <c r="T25" s="39">
        <v>0.18</v>
      </c>
      <c r="U25" s="43">
        <v>7.0000000000000007E-2</v>
      </c>
      <c r="V25" s="37">
        <v>6441.3310235635881</v>
      </c>
      <c r="W25" s="78">
        <f t="shared" si="3"/>
        <v>48114.810346712933</v>
      </c>
      <c r="X25" s="42">
        <f t="shared" si="4"/>
        <v>1545.6735685862247</v>
      </c>
      <c r="Y25" s="38">
        <f t="shared" si="5"/>
        <v>390.71192983707363</v>
      </c>
      <c r="Z25" s="44">
        <f t="shared" si="24"/>
        <v>1936.3854984232985</v>
      </c>
      <c r="AA25" s="45"/>
      <c r="AB25" s="68">
        <f t="shared" si="25"/>
        <v>0.13290400417766407</v>
      </c>
      <c r="AC25" s="67">
        <f t="shared" si="26"/>
        <v>3.3595178833798423E-2</v>
      </c>
      <c r="AD25" s="47">
        <f t="shared" si="27"/>
        <v>0.16649918301146246</v>
      </c>
      <c r="AE25" s="45"/>
      <c r="AF25" s="46">
        <v>0.18360000000000001</v>
      </c>
      <c r="AG25" s="67">
        <f t="shared" si="6"/>
        <v>0.28378566719243092</v>
      </c>
      <c r="AH25" s="67">
        <f t="shared" si="7"/>
        <v>7.1734710318086731E-2</v>
      </c>
      <c r="AI25" s="47">
        <f t="shared" si="8"/>
        <v>0.35552037751051768</v>
      </c>
      <c r="AJ25" s="48"/>
      <c r="AK25" s="23">
        <v>3.4000000000000002E-2</v>
      </c>
      <c r="AL25" s="67">
        <f t="shared" si="9"/>
        <v>52.552901331931643</v>
      </c>
      <c r="AM25" s="67">
        <f t="shared" si="10"/>
        <v>13.284205614460504</v>
      </c>
      <c r="AN25" s="47">
        <f t="shared" si="11"/>
        <v>65.837106946392154</v>
      </c>
      <c r="AO25" s="45"/>
      <c r="AP25" s="55">
        <v>75</v>
      </c>
      <c r="AQ25" s="54">
        <v>175</v>
      </c>
      <c r="AR25" s="54">
        <v>200</v>
      </c>
      <c r="AS25" s="54">
        <v>230</v>
      </c>
      <c r="AT25" s="56">
        <v>150</v>
      </c>
      <c r="AU25" s="12"/>
      <c r="AV25" s="63">
        <v>0.05</v>
      </c>
      <c r="AW25" s="60">
        <v>0.7</v>
      </c>
      <c r="AX25" s="60">
        <v>0.05</v>
      </c>
      <c r="AY25" s="60">
        <f t="shared" si="12"/>
        <v>0.25</v>
      </c>
      <c r="AZ25" s="61">
        <f t="shared" si="28"/>
        <v>189</v>
      </c>
      <c r="BA25" s="64">
        <f t="shared" si="13"/>
        <v>251959919.6312775</v>
      </c>
      <c r="BB25" s="25"/>
      <c r="BC25" s="66">
        <v>0.8</v>
      </c>
      <c r="BD25" s="60">
        <v>0.05</v>
      </c>
      <c r="BE25" s="60">
        <v>0.05</v>
      </c>
      <c r="BF25" s="60">
        <v>0.05</v>
      </c>
      <c r="BG25" s="60">
        <v>0.05</v>
      </c>
      <c r="BH25" s="61">
        <f t="shared" si="29"/>
        <v>97.75</v>
      </c>
      <c r="BI25" s="64">
        <f t="shared" si="14"/>
        <v>84703192.558583587</v>
      </c>
      <c r="BJ25" s="25"/>
      <c r="BK25" s="68">
        <f t="shared" si="15"/>
        <v>4.7944055084582793</v>
      </c>
      <c r="BL25" s="67">
        <f t="shared" si="16"/>
        <v>6.3762331762149209</v>
      </c>
      <c r="BM25" s="47">
        <f t="shared" si="17"/>
        <v>5.1135769447462032</v>
      </c>
      <c r="BN25" s="49"/>
      <c r="BO25" s="39">
        <f t="shared" si="18"/>
        <v>3.128646497159457</v>
      </c>
      <c r="BP25" s="40">
        <f t="shared" si="19"/>
        <v>2.3524861129536587</v>
      </c>
      <c r="BQ25" s="71">
        <f t="shared" si="30"/>
        <v>2.9333674181653442</v>
      </c>
    </row>
    <row r="26" spans="1:70" x14ac:dyDescent="0.45">
      <c r="A26" s="5" t="s">
        <v>23</v>
      </c>
      <c r="B26" s="37">
        <v>1846900</v>
      </c>
      <c r="C26" s="2">
        <v>0.2625930783013144</v>
      </c>
      <c r="D26" s="51">
        <v>0.43134537000000001</v>
      </c>
      <c r="E26" s="51">
        <v>0.11463224</v>
      </c>
      <c r="F26" s="51">
        <v>1.2991607445106291E-3</v>
      </c>
      <c r="G26" s="51"/>
      <c r="H26" s="51"/>
      <c r="I26" s="51">
        <f>0.5*0.93%</f>
        <v>4.6500000000000005E-3</v>
      </c>
      <c r="J26" s="2">
        <f t="shared" si="20"/>
        <v>0.81451984904582508</v>
      </c>
      <c r="K26" s="38">
        <f t="shared" si="0"/>
        <v>1504336.7092027343</v>
      </c>
      <c r="L26" s="39">
        <v>0.65</v>
      </c>
      <c r="M26" s="40">
        <f t="shared" si="31"/>
        <v>0.22750000000000001</v>
      </c>
      <c r="N26" s="40">
        <f t="shared" si="21"/>
        <v>0.35</v>
      </c>
      <c r="O26" s="38">
        <f t="shared" si="1"/>
        <v>526517.84822095698</v>
      </c>
      <c r="P26" s="41">
        <f t="shared" si="2"/>
        <v>342236.60134362208</v>
      </c>
      <c r="Q26" s="37">
        <v>7</v>
      </c>
      <c r="R26" s="42">
        <f t="shared" si="22"/>
        <v>3685624.9375466988</v>
      </c>
      <c r="S26" s="44">
        <f t="shared" si="23"/>
        <v>2395656.2094053547</v>
      </c>
      <c r="T26" s="39">
        <v>0.18</v>
      </c>
      <c r="U26" s="43">
        <v>7.0000000000000007E-2</v>
      </c>
      <c r="V26" s="37">
        <v>10488.196687375153</v>
      </c>
      <c r="W26" s="78">
        <f t="shared" si="3"/>
        <v>19370.65046191317</v>
      </c>
      <c r="X26" s="42">
        <f t="shared" si="4"/>
        <v>994.00009527988823</v>
      </c>
      <c r="Y26" s="38">
        <f t="shared" si="5"/>
        <v>251.26113519574957</v>
      </c>
      <c r="Z26" s="44">
        <f t="shared" si="24"/>
        <v>1245.2612304756378</v>
      </c>
      <c r="AA26" s="45"/>
      <c r="AB26" s="68">
        <f t="shared" si="25"/>
        <v>8.546862384177932E-2</v>
      </c>
      <c r="AC26" s="67">
        <f t="shared" si="26"/>
        <v>2.1604568804449775E-2</v>
      </c>
      <c r="AD26" s="47">
        <f t="shared" si="27"/>
        <v>0.1070731926462291</v>
      </c>
      <c r="AE26" s="45"/>
      <c r="AF26" s="46">
        <v>0.18360000000000001</v>
      </c>
      <c r="AG26" s="67">
        <f t="shared" si="6"/>
        <v>0.18249841749338749</v>
      </c>
      <c r="AH26" s="67">
        <f t="shared" si="7"/>
        <v>4.6131544421939626E-2</v>
      </c>
      <c r="AI26" s="47">
        <f t="shared" si="8"/>
        <v>0.22862996191532714</v>
      </c>
      <c r="AJ26" s="48"/>
      <c r="AK26" s="23">
        <v>0.05</v>
      </c>
      <c r="AL26" s="67">
        <f t="shared" si="9"/>
        <v>49.700004763994421</v>
      </c>
      <c r="AM26" s="67">
        <f t="shared" si="10"/>
        <v>12.563056759787479</v>
      </c>
      <c r="AN26" s="47">
        <f t="shared" si="11"/>
        <v>62.263061523781893</v>
      </c>
      <c r="AO26" s="45"/>
      <c r="AP26" s="55">
        <v>100</v>
      </c>
      <c r="AQ26" s="54">
        <v>200</v>
      </c>
      <c r="AR26" s="54">
        <v>295</v>
      </c>
      <c r="AS26" s="54">
        <v>340</v>
      </c>
      <c r="AT26" s="56">
        <v>295</v>
      </c>
      <c r="AU26" s="12"/>
      <c r="AV26" s="63">
        <v>0.05</v>
      </c>
      <c r="AW26" s="60">
        <v>0.7</v>
      </c>
      <c r="AX26" s="60">
        <v>0.05</v>
      </c>
      <c r="AY26" s="60">
        <f t="shared" si="12"/>
        <v>0.25</v>
      </c>
      <c r="AZ26" s="61">
        <f t="shared" si="28"/>
        <v>297.25</v>
      </c>
      <c r="BA26" s="64">
        <f t="shared" si="13"/>
        <v>156507430.38367945</v>
      </c>
      <c r="BB26" s="25"/>
      <c r="BC26" s="66">
        <v>0.8</v>
      </c>
      <c r="BD26" s="60">
        <v>0.05</v>
      </c>
      <c r="BE26" s="60">
        <v>0.05</v>
      </c>
      <c r="BF26" s="60">
        <v>0.05</v>
      </c>
      <c r="BG26" s="60">
        <v>0.05</v>
      </c>
      <c r="BH26" s="61">
        <f t="shared" si="29"/>
        <v>136.5</v>
      </c>
      <c r="BI26" s="64">
        <f t="shared" si="14"/>
        <v>46715296.083404414</v>
      </c>
      <c r="BJ26" s="25"/>
      <c r="BK26" s="68">
        <f t="shared" si="15"/>
        <v>3.1490425630112324</v>
      </c>
      <c r="BL26" s="67">
        <f t="shared" si="16"/>
        <v>3.718465734623861</v>
      </c>
      <c r="BM26" s="47">
        <f t="shared" si="17"/>
        <v>3.2639372606093464</v>
      </c>
      <c r="BN26" s="49"/>
      <c r="BO26" s="39">
        <f t="shared" si="18"/>
        <v>4.7633525745858556</v>
      </c>
      <c r="BP26" s="40">
        <f t="shared" si="19"/>
        <v>4.0339218028365984</v>
      </c>
      <c r="BQ26" s="71">
        <f t="shared" si="30"/>
        <v>4.5956765716751677</v>
      </c>
    </row>
    <row r="27" spans="1:70" x14ac:dyDescent="0.45">
      <c r="A27" s="5" t="s">
        <v>24</v>
      </c>
      <c r="B27" s="37">
        <v>882700</v>
      </c>
      <c r="C27" s="2">
        <v>0.09</v>
      </c>
      <c r="D27" s="51">
        <v>0.11</v>
      </c>
      <c r="E27" s="51">
        <v>0</v>
      </c>
      <c r="F27" s="51">
        <v>0.19</v>
      </c>
      <c r="G27" s="51"/>
      <c r="H27" s="51"/>
      <c r="I27" s="51"/>
      <c r="J27" s="2">
        <f t="shared" si="20"/>
        <v>0.39</v>
      </c>
      <c r="K27" s="38">
        <f t="shared" si="0"/>
        <v>344253</v>
      </c>
      <c r="L27" s="39">
        <v>0.47</v>
      </c>
      <c r="M27" s="40">
        <f t="shared" si="31"/>
        <v>0.16449999999999998</v>
      </c>
      <c r="N27" s="40">
        <f t="shared" si="21"/>
        <v>0.53</v>
      </c>
      <c r="O27" s="38">
        <f t="shared" si="1"/>
        <v>182454.09</v>
      </c>
      <c r="P27" s="41">
        <f t="shared" si="2"/>
        <v>56629.61849999999</v>
      </c>
      <c r="Q27" s="37">
        <v>7</v>
      </c>
      <c r="R27" s="42">
        <f t="shared" si="22"/>
        <v>1277178.6299999999</v>
      </c>
      <c r="S27" s="44">
        <f t="shared" si="23"/>
        <v>396407.32949999993</v>
      </c>
      <c r="T27" s="39">
        <v>0.18</v>
      </c>
      <c r="U27" s="43">
        <v>7.0000000000000007E-2</v>
      </c>
      <c r="V27" s="37">
        <v>10629.439724015341</v>
      </c>
      <c r="W27" s="78">
        <f t="shared" si="3"/>
        <v>9382.6064443883424</v>
      </c>
      <c r="X27" s="42">
        <f t="shared" si="4"/>
        <v>349.08925536991262</v>
      </c>
      <c r="Y27" s="38">
        <f t="shared" si="5"/>
        <v>42.135878150781387</v>
      </c>
      <c r="Z27" s="44">
        <f t="shared" si="24"/>
        <v>391.22513352069399</v>
      </c>
      <c r="AA27" s="45"/>
      <c r="AB27" s="68">
        <f t="shared" si="25"/>
        <v>3.0016273032666765E-2</v>
      </c>
      <c r="AC27" s="67">
        <f t="shared" si="26"/>
        <v>3.6230333749597264E-3</v>
      </c>
      <c r="AD27" s="47">
        <f t="shared" si="27"/>
        <v>3.3639306407626496E-2</v>
      </c>
      <c r="AE27" s="45"/>
      <c r="AF27" s="46">
        <v>0.18360000000000001</v>
      </c>
      <c r="AG27" s="67">
        <f t="shared" si="6"/>
        <v>6.409278728591597E-2</v>
      </c>
      <c r="AH27" s="67">
        <f t="shared" si="7"/>
        <v>7.7361472284834627E-3</v>
      </c>
      <c r="AI27" s="47">
        <f t="shared" si="8"/>
        <v>7.1828934514399409E-2</v>
      </c>
      <c r="AJ27" s="48"/>
      <c r="AK27" s="23">
        <v>6.0999999999999999E-2</v>
      </c>
      <c r="AL27" s="67">
        <f t="shared" si="9"/>
        <v>21.294444577564668</v>
      </c>
      <c r="AM27" s="67">
        <f t="shared" si="10"/>
        <v>2.5702885671976645</v>
      </c>
      <c r="AN27" s="47">
        <f t="shared" si="11"/>
        <v>23.864733144762329</v>
      </c>
      <c r="AO27" s="45"/>
      <c r="AP27" s="55">
        <v>50.858603295329274</v>
      </c>
      <c r="AQ27" s="54">
        <v>78.359114080110544</v>
      </c>
      <c r="AR27" s="54">
        <v>118.07829181494662</v>
      </c>
      <c r="AS27" s="54">
        <v>132.13523131672599</v>
      </c>
      <c r="AT27" s="56">
        <v>118.07829181494662</v>
      </c>
      <c r="AU27" s="12"/>
      <c r="AV27" s="63">
        <v>0.05</v>
      </c>
      <c r="AW27" s="60">
        <v>0.7</v>
      </c>
      <c r="AX27" s="60">
        <v>0.05</v>
      </c>
      <c r="AY27" s="60">
        <f t="shared" si="12"/>
        <v>0.25</v>
      </c>
      <c r="AZ27" s="61">
        <f t="shared" si="28"/>
        <v>118.78113879003558</v>
      </c>
      <c r="BA27" s="64">
        <f t="shared" si="13"/>
        <v>21672104.587099642</v>
      </c>
      <c r="BB27" s="25"/>
      <c r="BC27" s="66">
        <v>0.8</v>
      </c>
      <c r="BD27" s="60">
        <v>0.05</v>
      </c>
      <c r="BE27" s="60">
        <v>0.05</v>
      </c>
      <c r="BF27" s="60">
        <v>0.05</v>
      </c>
      <c r="BG27" s="60">
        <v>0.05</v>
      </c>
      <c r="BH27" s="61">
        <f t="shared" si="29"/>
        <v>63.019429087599917</v>
      </c>
      <c r="BI27" s="64">
        <f t="shared" si="14"/>
        <v>3568766.2273185859</v>
      </c>
      <c r="BJ27" s="25"/>
      <c r="BK27" s="68">
        <f t="shared" si="15"/>
        <v>1.0177351425231755</v>
      </c>
      <c r="BL27" s="67">
        <f t="shared" si="16"/>
        <v>1.3884690897604317</v>
      </c>
      <c r="BM27" s="47">
        <f t="shared" si="17"/>
        <v>1.0576640711341003</v>
      </c>
      <c r="BN27" s="49"/>
      <c r="BO27" s="39">
        <f t="shared" si="18"/>
        <v>14.738608674563308</v>
      </c>
      <c r="BP27" s="40">
        <f t="shared" si="19"/>
        <v>10.803265344990949</v>
      </c>
      <c r="BQ27" s="71">
        <f t="shared" si="30"/>
        <v>14.182196795165751</v>
      </c>
    </row>
    <row r="28" spans="1:70" x14ac:dyDescent="0.45">
      <c r="A28" s="5" t="s">
        <v>25</v>
      </c>
      <c r="B28" s="37">
        <v>18376000</v>
      </c>
      <c r="C28" s="2">
        <v>0</v>
      </c>
      <c r="D28" s="51">
        <v>0.44735294000000003</v>
      </c>
      <c r="E28" s="51">
        <v>0</v>
      </c>
      <c r="F28" s="51">
        <v>0.16205882352941176</v>
      </c>
      <c r="G28" s="51"/>
      <c r="H28" s="51"/>
      <c r="I28" s="51">
        <f>0.5*8.49%</f>
        <v>4.2450000000000002E-2</v>
      </c>
      <c r="J28" s="2">
        <f t="shared" si="20"/>
        <v>0.65186176352941183</v>
      </c>
      <c r="K28" s="38">
        <f t="shared" si="0"/>
        <v>11978611.766616471</v>
      </c>
      <c r="L28" s="39">
        <v>0.3</v>
      </c>
      <c r="M28" s="40">
        <f t="shared" si="31"/>
        <v>0.105</v>
      </c>
      <c r="N28" s="40">
        <f t="shared" si="21"/>
        <v>0.7</v>
      </c>
      <c r="O28" s="38">
        <f t="shared" si="1"/>
        <v>8385028.2366315294</v>
      </c>
      <c r="P28" s="41">
        <f t="shared" si="2"/>
        <v>1257754.2354947294</v>
      </c>
      <c r="Q28" s="37">
        <v>7</v>
      </c>
      <c r="R28" s="42">
        <f t="shared" si="22"/>
        <v>58695197.656420708</v>
      </c>
      <c r="S28" s="44">
        <f t="shared" si="23"/>
        <v>8804279.6484631058</v>
      </c>
      <c r="T28" s="39">
        <v>0.18</v>
      </c>
      <c r="U28" s="43">
        <v>7.0000000000000007E-2</v>
      </c>
      <c r="V28" s="37">
        <v>4793.0550160588855</v>
      </c>
      <c r="W28" s="78">
        <f t="shared" si="3"/>
        <v>88077.178975098082</v>
      </c>
      <c r="X28" s="42">
        <f t="shared" si="4"/>
        <v>7234.1822968887864</v>
      </c>
      <c r="Y28" s="38">
        <f t="shared" si="5"/>
        <v>421.99396731851255</v>
      </c>
      <c r="Z28" s="44">
        <f t="shared" si="24"/>
        <v>7656.176264207299</v>
      </c>
      <c r="AA28" s="45"/>
      <c r="AB28" s="68">
        <f t="shared" si="25"/>
        <v>0.62202771254418088</v>
      </c>
      <c r="AC28" s="67">
        <f t="shared" si="26"/>
        <v>3.6284949898410558E-2</v>
      </c>
      <c r="AD28" s="47">
        <f t="shared" si="27"/>
        <v>0.65831266244259146</v>
      </c>
      <c r="AE28" s="45"/>
      <c r="AF28" s="46">
        <v>0.18360000000000001</v>
      </c>
      <c r="AG28" s="67">
        <f t="shared" si="6"/>
        <v>1.3281958697087812</v>
      </c>
      <c r="AH28" s="67">
        <f t="shared" si="7"/>
        <v>7.7478092399678913E-2</v>
      </c>
      <c r="AI28" s="47">
        <f t="shared" si="8"/>
        <v>1.4056739621084602</v>
      </c>
      <c r="AJ28" s="48"/>
      <c r="AK28" s="23">
        <v>9.2999999999999999E-2</v>
      </c>
      <c r="AL28" s="67">
        <f t="shared" si="9"/>
        <v>672.77895361065714</v>
      </c>
      <c r="AM28" s="67">
        <f t="shared" si="10"/>
        <v>39.245438960621669</v>
      </c>
      <c r="AN28" s="47">
        <f t="shared" si="11"/>
        <v>712.02439257127878</v>
      </c>
      <c r="AO28" s="45"/>
      <c r="AP28" s="55">
        <v>153</v>
      </c>
      <c r="AQ28" s="54">
        <v>237.20884520884522</v>
      </c>
      <c r="AR28" s="54">
        <v>318.77346437346438</v>
      </c>
      <c r="AS28" s="54">
        <v>400</v>
      </c>
      <c r="AT28" s="56">
        <v>255</v>
      </c>
      <c r="AU28" s="12"/>
      <c r="AV28" s="63">
        <v>0.05</v>
      </c>
      <c r="AW28" s="60">
        <v>0.7</v>
      </c>
      <c r="AX28" s="60">
        <v>0.05</v>
      </c>
      <c r="AY28" s="60">
        <f t="shared" si="12"/>
        <v>0.25</v>
      </c>
      <c r="AZ28" s="61">
        <f t="shared" si="28"/>
        <v>306.89142506142502</v>
      </c>
      <c r="BA28" s="64">
        <f t="shared" si="13"/>
        <v>2573293264.7201376</v>
      </c>
      <c r="BB28" s="25"/>
      <c r="BC28" s="66">
        <v>0.8</v>
      </c>
      <c r="BD28" s="60">
        <v>0.05</v>
      </c>
      <c r="BE28" s="60">
        <v>0.05</v>
      </c>
      <c r="BF28" s="60">
        <v>0.05</v>
      </c>
      <c r="BG28" s="60">
        <v>0.05</v>
      </c>
      <c r="BH28" s="61">
        <f t="shared" si="29"/>
        <v>182.94911547911548</v>
      </c>
      <c r="BI28" s="64">
        <f t="shared" si="14"/>
        <v>230105024.87387183</v>
      </c>
      <c r="BJ28" s="25"/>
      <c r="BK28" s="68">
        <f t="shared" si="15"/>
        <v>3.8248718258944292</v>
      </c>
      <c r="BL28" s="67">
        <f t="shared" si="16"/>
        <v>5.8632297400152931</v>
      </c>
      <c r="BM28" s="47">
        <f t="shared" si="17"/>
        <v>3.9372222621058151</v>
      </c>
      <c r="BN28" s="49"/>
      <c r="BO28" s="39">
        <f t="shared" si="18"/>
        <v>3.9217000419333834</v>
      </c>
      <c r="BP28" s="40">
        <f t="shared" si="19"/>
        <v>2.558316945629505</v>
      </c>
      <c r="BQ28" s="71">
        <f t="shared" si="30"/>
        <v>3.8097925393668985</v>
      </c>
    </row>
    <row r="29" spans="1:70" x14ac:dyDescent="0.45">
      <c r="A29" s="5" t="s">
        <v>26</v>
      </c>
      <c r="B29" s="37">
        <v>5099800</v>
      </c>
      <c r="C29" s="2">
        <v>0.52</v>
      </c>
      <c r="D29" s="51">
        <v>5.1488699999999998E-3</v>
      </c>
      <c r="E29" s="51">
        <v>0</v>
      </c>
      <c r="F29" s="51">
        <v>4.8726931402488065E-2</v>
      </c>
      <c r="G29" s="51"/>
      <c r="H29" s="51">
        <f>472000/B29</f>
        <v>9.2552649123495034E-2</v>
      </c>
      <c r="I29" s="51">
        <f>0.5*11.98%</f>
        <v>5.9900000000000002E-2</v>
      </c>
      <c r="J29" s="2">
        <f t="shared" si="20"/>
        <v>0.72632845052598305</v>
      </c>
      <c r="K29" s="38">
        <f t="shared" si="0"/>
        <v>3704129.8319924083</v>
      </c>
      <c r="L29" s="39">
        <v>0.6</v>
      </c>
      <c r="M29" s="40">
        <f t="shared" si="31"/>
        <v>0.21</v>
      </c>
      <c r="N29" s="40">
        <f t="shared" si="21"/>
        <v>0.4</v>
      </c>
      <c r="O29" s="38">
        <f t="shared" si="1"/>
        <v>1481651.9327969635</v>
      </c>
      <c r="P29" s="41">
        <f t="shared" si="2"/>
        <v>777867.26471840567</v>
      </c>
      <c r="Q29" s="37">
        <v>7</v>
      </c>
      <c r="R29" s="42">
        <f t="shared" si="22"/>
        <v>10371563.529578745</v>
      </c>
      <c r="S29" s="44">
        <f t="shared" si="23"/>
        <v>5445070.8530288395</v>
      </c>
      <c r="T29" s="39">
        <v>0.18</v>
      </c>
      <c r="U29" s="43">
        <v>7.0000000000000007E-2</v>
      </c>
      <c r="V29" s="37">
        <v>12653.404784728149</v>
      </c>
      <c r="W29" s="78">
        <f t="shared" si="3"/>
        <v>64529.833721156618</v>
      </c>
      <c r="X29" s="42">
        <f t="shared" si="4"/>
        <v>3374.6294980358648</v>
      </c>
      <c r="Y29" s="38">
        <f t="shared" si="5"/>
        <v>688.98685584898908</v>
      </c>
      <c r="Z29" s="44">
        <f t="shared" si="24"/>
        <v>4063.6163538848541</v>
      </c>
      <c r="AA29" s="45"/>
      <c r="AB29" s="68">
        <f t="shared" si="25"/>
        <v>0.29016590696783173</v>
      </c>
      <c r="AC29" s="67">
        <f t="shared" si="26"/>
        <v>5.9242206005932309E-2</v>
      </c>
      <c r="AD29" s="47">
        <f t="shared" si="27"/>
        <v>0.34940811297376406</v>
      </c>
      <c r="AE29" s="45"/>
      <c r="AF29" s="46">
        <v>0.18360000000000001</v>
      </c>
      <c r="AG29" s="67">
        <f t="shared" si="6"/>
        <v>0.61958197583938479</v>
      </c>
      <c r="AH29" s="67">
        <f t="shared" si="7"/>
        <v>0.12649798673387441</v>
      </c>
      <c r="AI29" s="47">
        <f t="shared" si="8"/>
        <v>0.74607996257325937</v>
      </c>
      <c r="AJ29" s="48"/>
      <c r="AK29" s="23">
        <v>0.11714297321952001</v>
      </c>
      <c r="AL29" s="67">
        <f t="shared" si="9"/>
        <v>395.31413291421757</v>
      </c>
      <c r="AM29" s="67">
        <f t="shared" si="10"/>
        <v>80.709968803319427</v>
      </c>
      <c r="AN29" s="47">
        <f t="shared" si="11"/>
        <v>476.02410171753706</v>
      </c>
      <c r="AO29" s="45"/>
      <c r="AP29" s="55">
        <v>147.24215246636771</v>
      </c>
      <c r="AQ29" s="54">
        <v>281.09865470852014</v>
      </c>
      <c r="AR29" s="54">
        <v>455.11210762331837</v>
      </c>
      <c r="AS29" s="54">
        <v>543.45739910313898</v>
      </c>
      <c r="AT29" s="56">
        <v>386.84529147982062</v>
      </c>
      <c r="AU29" s="12"/>
      <c r="AV29" s="63">
        <v>0.05</v>
      </c>
      <c r="AW29" s="60">
        <v>0.05</v>
      </c>
      <c r="AX29" s="60">
        <v>0.7</v>
      </c>
      <c r="AY29" s="60">
        <f t="shared" si="12"/>
        <v>0.25</v>
      </c>
      <c r="AZ29" s="61">
        <f t="shared" si="28"/>
        <v>499.88710762331834</v>
      </c>
      <c r="BA29" s="64">
        <f t="shared" si="13"/>
        <v>740658699.1903733</v>
      </c>
      <c r="BB29" s="25"/>
      <c r="BC29" s="66">
        <v>0.8</v>
      </c>
      <c r="BD29" s="60">
        <v>0.05</v>
      </c>
      <c r="BE29" s="60">
        <v>0.05</v>
      </c>
      <c r="BF29" s="60">
        <v>0.05</v>
      </c>
      <c r="BG29" s="60">
        <v>0.05</v>
      </c>
      <c r="BH29" s="61">
        <f t="shared" si="29"/>
        <v>201.11939461883412</v>
      </c>
      <c r="BI29" s="64">
        <f t="shared" si="14"/>
        <v>156444193.37397414</v>
      </c>
      <c r="BJ29" s="25"/>
      <c r="BK29" s="68">
        <f t="shared" si="15"/>
        <v>1.8735952942797893</v>
      </c>
      <c r="BL29" s="67">
        <f t="shared" si="16"/>
        <v>1.9383503140139975</v>
      </c>
      <c r="BM29" s="47">
        <f t="shared" si="17"/>
        <v>1.8845745190790151</v>
      </c>
      <c r="BN29" s="49"/>
      <c r="BO29" s="39">
        <f t="shared" si="18"/>
        <v>8.0059979045613492</v>
      </c>
      <c r="BP29" s="40">
        <f t="shared" si="19"/>
        <v>7.7385392576110368</v>
      </c>
      <c r="BQ29" s="71">
        <f t="shared" si="30"/>
        <v>7.9593562621925118</v>
      </c>
    </row>
    <row r="30" spans="1:70" x14ac:dyDescent="0.45">
      <c r="A30" s="5" t="s">
        <v>27</v>
      </c>
      <c r="B30" s="37">
        <v>28218500</v>
      </c>
      <c r="C30" s="2">
        <v>8.9960508624772131E-3</v>
      </c>
      <c r="D30" s="51">
        <v>0.60100347999999992</v>
      </c>
      <c r="E30" s="51">
        <v>0.22</v>
      </c>
      <c r="F30" s="51">
        <v>8.1817071929089991E-2</v>
      </c>
      <c r="G30" s="51"/>
      <c r="H30" s="51">
        <f>587000/B30</f>
        <v>2.0801956163509754E-2</v>
      </c>
      <c r="I30" s="51">
        <f>0.5*0.33%</f>
        <v>1.65E-3</v>
      </c>
      <c r="J30" s="2">
        <f t="shared" si="20"/>
        <v>0.93426855895507699</v>
      </c>
      <c r="K30" s="38">
        <f t="shared" si="0"/>
        <v>26363657.33087384</v>
      </c>
      <c r="L30" s="39">
        <v>0.66</v>
      </c>
      <c r="M30" s="40">
        <f t="shared" si="31"/>
        <v>0.23099999999999998</v>
      </c>
      <c r="N30" s="40">
        <f t="shared" si="21"/>
        <v>0.33999999999999997</v>
      </c>
      <c r="O30" s="38">
        <f t="shared" si="1"/>
        <v>8963643.4924971052</v>
      </c>
      <c r="P30" s="41">
        <f t="shared" si="2"/>
        <v>6090004.8434318565</v>
      </c>
      <c r="Q30" s="37">
        <v>7</v>
      </c>
      <c r="R30" s="42">
        <f t="shared" si="22"/>
        <v>62745504.44747974</v>
      </c>
      <c r="S30" s="44">
        <f t="shared" si="23"/>
        <v>42630033.904022992</v>
      </c>
      <c r="T30" s="39">
        <v>0.18</v>
      </c>
      <c r="U30" s="43">
        <v>7.0000000000000007E-2</v>
      </c>
      <c r="V30" s="37">
        <v>11224.939816545146</v>
      </c>
      <c r="W30" s="78">
        <f t="shared" si="3"/>
        <v>316750.96421317919</v>
      </c>
      <c r="X30" s="42">
        <f t="shared" si="4"/>
        <v>18110.944573244378</v>
      </c>
      <c r="Y30" s="38">
        <f t="shared" si="5"/>
        <v>4785.1956494993728</v>
      </c>
      <c r="Z30" s="44">
        <f t="shared" si="24"/>
        <v>22896.14022274375</v>
      </c>
      <c r="AA30" s="45"/>
      <c r="AB30" s="68">
        <f t="shared" si="25"/>
        <v>1.557260926332285</v>
      </c>
      <c r="AC30" s="67">
        <f t="shared" si="26"/>
        <v>0.41145276435936357</v>
      </c>
      <c r="AD30" s="47">
        <f t="shared" si="27"/>
        <v>1.9687136906916485</v>
      </c>
      <c r="AE30" s="45"/>
      <c r="AF30" s="46">
        <v>0.18360000000000001</v>
      </c>
      <c r="AG30" s="67">
        <f t="shared" si="6"/>
        <v>3.3251694236476679</v>
      </c>
      <c r="AH30" s="67">
        <f t="shared" si="7"/>
        <v>0.87856192124808485</v>
      </c>
      <c r="AI30" s="47">
        <f t="shared" si="8"/>
        <v>4.2037313448957532</v>
      </c>
      <c r="AJ30" s="48"/>
      <c r="AK30" s="23">
        <v>6.7000000000000004E-2</v>
      </c>
      <c r="AL30" s="67">
        <f t="shared" si="9"/>
        <v>1213.4332864073733</v>
      </c>
      <c r="AM30" s="67">
        <f t="shared" si="10"/>
        <v>320.608108516458</v>
      </c>
      <c r="AN30" s="47">
        <f t="shared" si="11"/>
        <v>1534.0413949238314</v>
      </c>
      <c r="AO30" s="45"/>
      <c r="AP30" s="55">
        <v>144.33679833679835</v>
      </c>
      <c r="AQ30" s="54">
        <v>222.3832923832924</v>
      </c>
      <c r="AR30" s="54">
        <v>298.85012285012283</v>
      </c>
      <c r="AS30" s="54">
        <v>375</v>
      </c>
      <c r="AT30" s="56">
        <v>225</v>
      </c>
      <c r="AU30" s="12"/>
      <c r="AV30" s="63">
        <v>0.05</v>
      </c>
      <c r="AW30" s="60">
        <v>0.7</v>
      </c>
      <c r="AX30" s="60">
        <v>0.05</v>
      </c>
      <c r="AY30" s="60">
        <f t="shared" si="12"/>
        <v>0.25</v>
      </c>
      <c r="AZ30" s="61">
        <f t="shared" si="28"/>
        <v>284.19508599508595</v>
      </c>
      <c r="BA30" s="64">
        <f t="shared" si="13"/>
        <v>2547423433.1795073</v>
      </c>
      <c r="BB30" s="25"/>
      <c r="BC30" s="66">
        <v>0.8</v>
      </c>
      <c r="BD30" s="60">
        <v>0.05</v>
      </c>
      <c r="BE30" s="60">
        <v>0.05</v>
      </c>
      <c r="BF30" s="60">
        <v>0.05</v>
      </c>
      <c r="BG30" s="60">
        <v>0.05</v>
      </c>
      <c r="BH30" s="61">
        <f t="shared" si="29"/>
        <v>171.53110943110946</v>
      </c>
      <c r="BI30" s="64">
        <f t="shared" si="14"/>
        <v>1044625287.2346964</v>
      </c>
      <c r="BJ30" s="25"/>
      <c r="BK30" s="68">
        <f t="shared" si="15"/>
        <v>2.0993518652530909</v>
      </c>
      <c r="BL30" s="67">
        <f t="shared" si="16"/>
        <v>3.2582622194693243</v>
      </c>
      <c r="BM30" s="47">
        <f t="shared" si="17"/>
        <v>2.3415591862777321</v>
      </c>
      <c r="BN30" s="49"/>
      <c r="BO30" s="39">
        <f t="shared" si="18"/>
        <v>7.1450623634221762</v>
      </c>
      <c r="BP30" s="40">
        <f t="shared" si="19"/>
        <v>4.6036810390426659</v>
      </c>
      <c r="BQ30" s="71">
        <f t="shared" si="30"/>
        <v>6.4059879792510408</v>
      </c>
    </row>
    <row r="31" spans="1:70" s="1" customFormat="1" ht="14.65" thickBot="1" x14ac:dyDescent="0.5">
      <c r="A31" s="6" t="s">
        <v>33</v>
      </c>
      <c r="B31" s="10">
        <f>SUM(B3:B30)</f>
        <v>218913000</v>
      </c>
      <c r="C31" s="7"/>
      <c r="D31" s="7"/>
      <c r="E31" s="7"/>
      <c r="F31" s="7"/>
      <c r="G31" s="7"/>
      <c r="H31" s="7"/>
      <c r="I31" s="75"/>
      <c r="J31" s="7"/>
      <c r="K31" s="8">
        <f>SUM(K3:K30)</f>
        <v>171268698.38056302</v>
      </c>
      <c r="L31" s="10"/>
      <c r="M31" s="8"/>
      <c r="N31" s="8"/>
      <c r="O31" s="8">
        <f t="shared" ref="O31:S31" si="32">SUM(O3:O30)</f>
        <v>69850339.071794391</v>
      </c>
      <c r="P31" s="16">
        <f t="shared" si="32"/>
        <v>35492328.470056638</v>
      </c>
      <c r="Q31" s="10"/>
      <c r="R31" s="17">
        <f t="shared" si="32"/>
        <v>488952373.50256062</v>
      </c>
      <c r="S31" s="9">
        <f t="shared" si="32"/>
        <v>248446299.29039648</v>
      </c>
      <c r="T31" s="10"/>
      <c r="U31" s="76"/>
      <c r="V31" s="10">
        <f>SUM(V3:V30)</f>
        <v>321149.86928033963</v>
      </c>
      <c r="W31" s="79">
        <f>SUM(W3:W30)</f>
        <v>2437503.3335946389</v>
      </c>
      <c r="X31" s="17">
        <f>SUM(X3:X30)</f>
        <v>129741.35267357016</v>
      </c>
      <c r="Y31" s="8">
        <f>SUM(Y3:Y30)</f>
        <v>30407.923772626156</v>
      </c>
      <c r="Z31" s="9">
        <f>SUM(Z3:Z30)</f>
        <v>160149.27644619631</v>
      </c>
      <c r="AA31" s="18"/>
      <c r="AB31" s="24">
        <f>SUM(AB3:AB30)</f>
        <v>11.155748295233952</v>
      </c>
      <c r="AC31" s="70">
        <f t="shared" ref="AC31:AD31" si="33">SUM(AC3:AC30)</f>
        <v>2.6146108144992533</v>
      </c>
      <c r="AD31" s="21">
        <f t="shared" si="33"/>
        <v>13.770359109733207</v>
      </c>
      <c r="AE31" s="18"/>
      <c r="AF31" s="10"/>
      <c r="AG31" s="70">
        <f t="shared" ref="AG31:AH31" si="34">SUM(AG3:AG30)</f>
        <v>23.820512350867485</v>
      </c>
      <c r="AH31" s="70">
        <f t="shared" si="34"/>
        <v>5.5828948046541615</v>
      </c>
      <c r="AI31" s="21">
        <f>SUM(AI3:AI30)</f>
        <v>29.403407155521645</v>
      </c>
      <c r="AJ31" s="19"/>
      <c r="AK31" s="24"/>
      <c r="AL31" s="70">
        <f t="shared" ref="AL31:AM31" si="35">SUM(AL3:AL30)</f>
        <v>9566.2695405010072</v>
      </c>
      <c r="AM31" s="70">
        <f t="shared" si="35"/>
        <v>2110.4942877506701</v>
      </c>
      <c r="AN31" s="21">
        <f>SUM(AN3:AN30)</f>
        <v>11676.763828251676</v>
      </c>
      <c r="AO31" s="18"/>
      <c r="AP31" s="57"/>
      <c r="AQ31" s="58"/>
      <c r="AR31" s="58"/>
      <c r="AS31" s="58"/>
      <c r="AT31" s="11"/>
      <c r="AV31" s="57"/>
      <c r="AW31" s="58"/>
      <c r="AX31" s="58"/>
      <c r="AY31" s="58"/>
      <c r="AZ31" s="58"/>
      <c r="BA31" s="69">
        <f>SUM(BA3:BA30)</f>
        <v>18079120736.58876</v>
      </c>
      <c r="BC31" s="57"/>
      <c r="BD31" s="58"/>
      <c r="BE31" s="58"/>
      <c r="BF31" s="58"/>
      <c r="BG31" s="58"/>
      <c r="BH31" s="58"/>
      <c r="BI31" s="69">
        <f>SUM(BI3:BI30)</f>
        <v>5687521140.4282494</v>
      </c>
      <c r="BK31" s="24">
        <f>(BA31)/(1000000*AL31)</f>
        <v>1.8898820130508174</v>
      </c>
      <c r="BL31" s="70">
        <f>(BI31)/(1000000*AM31)</f>
        <v>2.6948763488433389</v>
      </c>
      <c r="BM31" s="21">
        <f>(BA31+BI31)/(1000000*AN31)</f>
        <v>2.035379170683759</v>
      </c>
      <c r="BN31" s="13"/>
      <c r="BO31" s="81">
        <f>(AL31*1000000*15)/(BA31)</f>
        <v>7.9370034194810142</v>
      </c>
      <c r="BP31" s="82">
        <f>(AM31*1000000*15)/(BI31)</f>
        <v>5.5661180916289945</v>
      </c>
      <c r="BQ31" s="80">
        <f t="shared" si="30"/>
        <v>7.3696342264134245</v>
      </c>
      <c r="BR31" s="50"/>
    </row>
    <row r="32" spans="1:70" ht="14.65" thickBot="1" x14ac:dyDescent="0.5"/>
    <row r="33" spans="15:44" ht="14.65" thickBot="1" x14ac:dyDescent="0.5">
      <c r="O33" s="50">
        <f>O31/K31</f>
        <v>0.4078406605075337</v>
      </c>
      <c r="R33" s="83" t="s">
        <v>33</v>
      </c>
      <c r="S33" s="84">
        <f>R31+S31</f>
        <v>737398672.79295707</v>
      </c>
      <c r="AR33" s="104"/>
    </row>
    <row r="34" spans="15:44" x14ac:dyDescent="0.45">
      <c r="AD34" s="50" t="s">
        <v>102</v>
      </c>
      <c r="AR34" s="104"/>
    </row>
    <row r="35" spans="15:44" ht="57" x14ac:dyDescent="0.45">
      <c r="AC35" s="73" t="s">
        <v>101</v>
      </c>
      <c r="AD35" s="50">
        <v>192.5</v>
      </c>
    </row>
    <row r="36" spans="15:44" x14ac:dyDescent="0.45">
      <c r="AC36" s="50" t="s">
        <v>103</v>
      </c>
      <c r="AD36" s="74">
        <f>AD31/AD35</f>
        <v>7.1534333037575101E-2</v>
      </c>
    </row>
  </sheetData>
  <mergeCells count="14">
    <mergeCell ref="BK1:BM1"/>
    <mergeCell ref="BO1:BQ1"/>
    <mergeCell ref="X1:Z1"/>
    <mergeCell ref="B1:K1"/>
    <mergeCell ref="L1:P1"/>
    <mergeCell ref="T1:U1"/>
    <mergeCell ref="Q1:S1"/>
    <mergeCell ref="V1:W1"/>
    <mergeCell ref="BC1:BI1"/>
    <mergeCell ref="AF1:AI1"/>
    <mergeCell ref="AK1:AN1"/>
    <mergeCell ref="AP1:AT1"/>
    <mergeCell ref="AV1:BA1"/>
    <mergeCell ref="AB1:AD1"/>
  </mergeCells>
  <pageMargins left="0.7" right="0.7" top="0.75" bottom="0.75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Potential savings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2017-09-14T14:50:52Z</dcterms:created>
  <dcterms:modified xsi:type="dcterms:W3CDTF">2018-04-26T08:13:07Z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